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firstSheet="4" activeTab="6"/>
  </bookViews>
  <sheets>
    <sheet name="Checkbook Balance" sheetId="1" r:id="rId1"/>
    <sheet name="Loan Payment" sheetId="2" r:id="rId2"/>
    <sheet name="BMI &amp; Calorie" sheetId="3" r:id="rId3"/>
    <sheet name="Blood Pressure" sheetId="4" r:id="rId4"/>
    <sheet name="Conversion" sheetId="5" r:id="rId5"/>
    <sheet name="Convert" sheetId="6" r:id="rId6"/>
    <sheet name="Right Triangle" sheetId="7" r:id="rId7"/>
    <sheet name="Tap Drill" sheetId="8" r:id="rId8"/>
    <sheet name="Drill Bit Equivalence" sheetId="9" r:id="rId9"/>
    <sheet name="Chart 1" sheetId="10" r:id="rId10"/>
    <sheet name="Chart 2" sheetId="11" r:id="rId11"/>
    <sheet name="Bolt Circle" sheetId="12" r:id="rId12"/>
    <sheet name="Spiral" sheetId="13" r:id="rId13"/>
    <sheet name="Rotate" sheetId="14" r:id="rId14"/>
    <sheet name="Cone Fab" sheetId="15" r:id="rId15"/>
    <sheet name="Circle Segment" sheetId="16" r:id="rId16"/>
    <sheet name="Polygon" sheetId="17" r:id="rId17"/>
    <sheet name="Trig Function" sheetId="18" r:id="rId18"/>
    <sheet name="Data" sheetId="19" state="hidden" r:id="rId19"/>
  </sheets>
  <definedNames>
    <definedName name="CELLNOTE0" localSheetId="11">'Bolt Circle'!#REF!</definedName>
    <definedName name="CELLNOTE0" localSheetId="12">'Spiral'!#REF!</definedName>
    <definedName name="_xlnm.Print_Area" localSheetId="11">'Bolt Circle'!$B$1:$K$52</definedName>
    <definedName name="_xlnm.Print_Area" localSheetId="4">'Conversion'!$B$1:$I$20</definedName>
    <definedName name="_xlnm.Print_Area" localSheetId="5">'Convert'!$B$2:$C$9</definedName>
    <definedName name="_xlnm.Print_Area" localSheetId="1">OFFSET('Loan Payment'!$A$1,0,0,(COUNTIF('Loan Payment'!$I$12:$I$383,"=End of year*")*12)+11,9)</definedName>
    <definedName name="_xlnm.Print_Area" localSheetId="6">'Right Triangle'!$B$1:$I$21</definedName>
    <definedName name="_xlnm.Print_Area" localSheetId="12">'Spiral'!$B$1:$S$53</definedName>
    <definedName name="_xlnm.Print_Titles" localSheetId="1">'Loan Payment'!$10:$11</definedName>
  </definedNames>
  <calcPr fullCalcOnLoad="1"/>
</workbook>
</file>

<file path=xl/comments12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3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<sst xmlns="http://schemas.openxmlformats.org/spreadsheetml/2006/main" count="2964" uniqueCount="925">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</sst>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_)"/>
    <numFmt numFmtId="181" formatCode="0.00_)"/>
    <numFmt numFmtId="182" formatCode="General_)"/>
    <numFmt numFmtId="183" formatCode="0.0_)"/>
    <numFmt numFmtId="184" formatCode="0.00000000_)"/>
    <numFmt numFmtId="185" formatCode="&quot;$&quot;#,##0.00_);[Red]&quot;$&quot;#,##0.00"/>
    <numFmt numFmtId="186" formatCode="&quot;$&quot;#,##0.00_);&quot;$&quot;#,##0.00"/>
    <numFmt numFmtId="187" formatCode="&quot;$&quot;#,##0.0000_);\(&quot;$&quot;#,##0.0000\)"/>
    <numFmt numFmtId="188" formatCode="m"/>
    <numFmt numFmtId="189" formatCode="0.000"/>
    <numFmt numFmtId="190" formatCode="0._)"/>
    <numFmt numFmtId="191" formatCode="0.0000"/>
    <numFmt numFmtId="192" formatCode=".0000_)"/>
    <numFmt numFmtId="193" formatCode="00"/>
    <numFmt numFmtId="194" formatCode="000"/>
    <numFmt numFmtId="195" formatCode=".000_)"/>
    <numFmt numFmtId="196" formatCode=".0000"/>
    <numFmt numFmtId="197" formatCode="0.0"/>
    <numFmt numFmtId="198" formatCode="mm/dd/yy"/>
  </numFmts>
  <fonts count="7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8.05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181" fontId="0" fillId="0" borderId="0" xfId="0" applyNumberFormat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 horizontal="centerContinuous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6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7" fillId="33" borderId="15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6" fillId="33" borderId="13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Continuous"/>
    </xf>
    <xf numFmtId="0" fontId="8" fillId="33" borderId="15" xfId="0" applyFont="1" applyFill="1" applyBorder="1" applyAlignment="1">
      <alignment horizontal="centerContinuous"/>
    </xf>
    <xf numFmtId="7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2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23" xfId="0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7" fontId="7" fillId="33" borderId="0" xfId="0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 horizontal="center"/>
    </xf>
    <xf numFmtId="7" fontId="0" fillId="33" borderId="19" xfId="0" applyNumberFormat="1" applyFill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>
      <alignment/>
      <protection locked="0"/>
    </xf>
    <xf numFmtId="7" fontId="5" fillId="0" borderId="24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right"/>
    </xf>
    <xf numFmtId="7" fontId="0" fillId="34" borderId="16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centerContinuous"/>
    </xf>
    <xf numFmtId="0" fontId="0" fillId="33" borderId="0" xfId="0" applyFill="1" applyBorder="1" applyAlignment="1">
      <alignment horizontal="center"/>
    </xf>
    <xf numFmtId="180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right"/>
    </xf>
    <xf numFmtId="182" fontId="0" fillId="33" borderId="15" xfId="0" applyNumberFormat="1" applyFill="1" applyBorder="1" applyAlignment="1" applyProtection="1">
      <alignment/>
      <protection/>
    </xf>
    <xf numFmtId="0" fontId="0" fillId="33" borderId="19" xfId="0" applyFill="1" applyBorder="1" applyAlignment="1">
      <alignment horizontal="right"/>
    </xf>
    <xf numFmtId="0" fontId="0" fillId="33" borderId="0" xfId="0" applyFill="1" applyBorder="1" applyAlignment="1">
      <alignment horizontal="center" vertical="top"/>
    </xf>
    <xf numFmtId="0" fontId="0" fillId="33" borderId="14" xfId="0" applyFill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0" fillId="33" borderId="29" xfId="0" applyFill="1" applyBorder="1" applyAlignment="1">
      <alignment horizontal="centerContinuous"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8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centerContinuous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182" fontId="0" fillId="33" borderId="33" xfId="0" applyNumberFormat="1" applyFill="1" applyBorder="1" applyAlignment="1" applyProtection="1">
      <alignment/>
      <protection/>
    </xf>
    <xf numFmtId="7" fontId="5" fillId="0" borderId="34" xfId="0" applyNumberFormat="1" applyFont="1" applyFill="1" applyBorder="1" applyAlignment="1" applyProtection="1">
      <alignment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11" fillId="33" borderId="15" xfId="0" applyFont="1" applyFill="1" applyBorder="1" applyAlignment="1">
      <alignment horizontal="centerContinuous"/>
    </xf>
    <xf numFmtId="180" fontId="0" fillId="33" borderId="0" xfId="0" applyNumberFormat="1" applyFill="1" applyBorder="1" applyAlignment="1" applyProtection="1">
      <alignment horizontal="center"/>
      <protection/>
    </xf>
    <xf numFmtId="0" fontId="4" fillId="0" borderId="0" xfId="58">
      <alignment/>
      <protection/>
    </xf>
    <xf numFmtId="0" fontId="4" fillId="0" borderId="0" xfId="58" applyAlignment="1">
      <alignment horizontal="right"/>
      <protection/>
    </xf>
    <xf numFmtId="0" fontId="4" fillId="0" borderId="0" xfId="58" applyProtection="1">
      <alignment/>
      <protection locked="0"/>
    </xf>
    <xf numFmtId="0" fontId="4" fillId="0" borderId="0" xfId="58" applyProtection="1">
      <alignment/>
      <protection/>
    </xf>
    <xf numFmtId="0" fontId="4" fillId="33" borderId="0" xfId="58" applyFill="1">
      <alignment/>
      <protection/>
    </xf>
    <xf numFmtId="0" fontId="4" fillId="33" borderId="0" xfId="58" applyFill="1" applyAlignment="1">
      <alignment horizontal="right"/>
      <protection/>
    </xf>
    <xf numFmtId="0" fontId="4" fillId="33" borderId="0" xfId="58" applyFill="1" applyProtection="1">
      <alignment/>
      <protection/>
    </xf>
    <xf numFmtId="0" fontId="4" fillId="33" borderId="0" xfId="58" applyFill="1" applyAlignment="1">
      <alignment horizontal="center"/>
      <protection/>
    </xf>
    <xf numFmtId="0" fontId="4" fillId="33" borderId="15" xfId="58" applyFill="1" applyBorder="1">
      <alignment/>
      <protection/>
    </xf>
    <xf numFmtId="0" fontId="4" fillId="33" borderId="15" xfId="58" applyFill="1" applyBorder="1" applyProtection="1">
      <alignment/>
      <protection/>
    </xf>
    <xf numFmtId="0" fontId="4" fillId="33" borderId="16" xfId="58" applyFill="1" applyBorder="1">
      <alignment/>
      <protection/>
    </xf>
    <xf numFmtId="180" fontId="13" fillId="33" borderId="26" xfId="0" applyNumberFormat="1" applyFont="1" applyFill="1" applyBorder="1" applyAlignment="1" applyProtection="1">
      <alignment horizontal="centerContinuous"/>
      <protection/>
    </xf>
    <xf numFmtId="180" fontId="13" fillId="33" borderId="25" xfId="0" applyNumberFormat="1" applyFont="1" applyFill="1" applyBorder="1" applyAlignment="1" applyProtection="1">
      <alignment horizontal="centerContinuous"/>
      <protection/>
    </xf>
    <xf numFmtId="180" fontId="0" fillId="33" borderId="28" xfId="0" applyNumberFormat="1" applyFill="1" applyBorder="1" applyAlignment="1" applyProtection="1">
      <alignment/>
      <protection/>
    </xf>
    <xf numFmtId="180" fontId="13" fillId="33" borderId="27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33" borderId="28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Continuous"/>
      <protection/>
    </xf>
    <xf numFmtId="0" fontId="0" fillId="33" borderId="30" xfId="0" applyFill="1" applyBorder="1" applyAlignment="1" applyProtection="1">
      <alignment horizontal="right"/>
      <protection/>
    </xf>
    <xf numFmtId="0" fontId="0" fillId="33" borderId="31" xfId="0" applyFill="1" applyBorder="1" applyAlignment="1" applyProtection="1">
      <alignment horizontal="right"/>
      <protection/>
    </xf>
    <xf numFmtId="180" fontId="0" fillId="33" borderId="0" xfId="0" applyNumberFormat="1" applyFill="1" applyBorder="1" applyAlignment="1" applyProtection="1">
      <alignment horizontal="centerContinuous"/>
      <protection/>
    </xf>
    <xf numFmtId="180" fontId="0" fillId="33" borderId="28" xfId="0" applyNumberFormat="1" applyFill="1" applyBorder="1" applyAlignment="1" applyProtection="1">
      <alignment horizontal="right"/>
      <protection/>
    </xf>
    <xf numFmtId="180" fontId="7" fillId="33" borderId="28" xfId="0" applyNumberFormat="1" applyFont="1" applyFill="1" applyBorder="1" applyAlignment="1" applyProtection="1">
      <alignment horizontal="centerContinuous"/>
      <protection/>
    </xf>
    <xf numFmtId="180" fontId="11" fillId="34" borderId="37" xfId="0" applyNumberFormat="1" applyFont="1" applyFill="1" applyBorder="1" applyAlignment="1" applyProtection="1">
      <alignment horizontal="centerContinuous"/>
      <protection/>
    </xf>
    <xf numFmtId="180" fontId="9" fillId="34" borderId="38" xfId="0" applyNumberFormat="1" applyFont="1" applyFill="1" applyBorder="1" applyAlignment="1" applyProtection="1">
      <alignment horizontal="centerContinuous"/>
      <protection/>
    </xf>
    <xf numFmtId="0" fontId="9" fillId="34" borderId="38" xfId="0" applyFont="1" applyFill="1" applyBorder="1" applyAlignment="1">
      <alignment horizontal="centerContinuous"/>
    </xf>
    <xf numFmtId="0" fontId="9" fillId="34" borderId="39" xfId="0" applyFont="1" applyFill="1" applyBorder="1" applyAlignment="1">
      <alignment horizontal="centerContinuous"/>
    </xf>
    <xf numFmtId="180" fontId="9" fillId="34" borderId="0" xfId="0" applyNumberFormat="1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 horizontal="centerContinuous"/>
    </xf>
    <xf numFmtId="182" fontId="9" fillId="34" borderId="4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29" xfId="0" applyFont="1" applyFill="1" applyBorder="1" applyAlignment="1">
      <alignment horizontal="left"/>
    </xf>
    <xf numFmtId="182" fontId="9" fillId="34" borderId="41" xfId="0" applyNumberFormat="1" applyFont="1" applyFill="1" applyBorder="1" applyAlignment="1" applyProtection="1">
      <alignment/>
      <protection/>
    </xf>
    <xf numFmtId="182" fontId="9" fillId="34" borderId="42" xfId="0" applyNumberFormat="1" applyFont="1" applyFill="1" applyBorder="1" applyAlignment="1" applyProtection="1">
      <alignment/>
      <protection/>
    </xf>
    <xf numFmtId="0" fontId="9" fillId="34" borderId="43" xfId="0" applyFont="1" applyFill="1" applyBorder="1" applyAlignment="1">
      <alignment horizontal="left"/>
    </xf>
    <xf numFmtId="0" fontId="9" fillId="34" borderId="43" xfId="0" applyFont="1" applyFill="1" applyBorder="1" applyAlignment="1">
      <alignment/>
    </xf>
    <xf numFmtId="0" fontId="9" fillId="34" borderId="44" xfId="0" applyFont="1" applyFill="1" applyBorder="1" applyAlignment="1">
      <alignment/>
    </xf>
    <xf numFmtId="180" fontId="10" fillId="33" borderId="28" xfId="0" applyNumberFormat="1" applyFont="1" applyFill="1" applyBorder="1" applyAlignment="1" applyProtection="1">
      <alignment horizontal="centerContinuous"/>
      <protection/>
    </xf>
    <xf numFmtId="180" fontId="7" fillId="33" borderId="0" xfId="0" applyNumberFormat="1" applyFont="1" applyFill="1" applyBorder="1" applyAlignment="1" applyProtection="1">
      <alignment horizontal="centerContinuous"/>
      <protection/>
    </xf>
    <xf numFmtId="180" fontId="7" fillId="33" borderId="28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right"/>
    </xf>
    <xf numFmtId="180" fontId="8" fillId="33" borderId="0" xfId="0" applyNumberFormat="1" applyFont="1" applyFill="1" applyBorder="1" applyAlignment="1" applyProtection="1">
      <alignment vertical="top"/>
      <protection/>
    </xf>
    <xf numFmtId="180" fontId="8" fillId="33" borderId="0" xfId="0" applyNumberFormat="1" applyFont="1" applyFill="1" applyBorder="1" applyAlignment="1" applyProtection="1">
      <alignment horizontal="center" vertical="top"/>
      <protection/>
    </xf>
    <xf numFmtId="180" fontId="8" fillId="33" borderId="0" xfId="0" applyNumberFormat="1" applyFont="1" applyFill="1" applyBorder="1" applyAlignment="1" applyProtection="1">
      <alignment horizontal="left" vertical="top"/>
      <protection/>
    </xf>
    <xf numFmtId="180" fontId="8" fillId="33" borderId="29" xfId="0" applyNumberFormat="1" applyFont="1" applyFill="1" applyBorder="1" applyAlignment="1" applyProtection="1">
      <alignment horizontal="left" vertical="top"/>
      <protection/>
    </xf>
    <xf numFmtId="180" fontId="14" fillId="34" borderId="40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right"/>
      <protection/>
    </xf>
    <xf numFmtId="184" fontId="0" fillId="33" borderId="16" xfId="0" applyNumberFormat="1" applyFill="1" applyBorder="1" applyAlignment="1" applyProtection="1">
      <alignment horizontal="left"/>
      <protection/>
    </xf>
    <xf numFmtId="0" fontId="0" fillId="33" borderId="21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1" fontId="0" fillId="33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/>
    </xf>
    <xf numFmtId="1" fontId="0" fillId="33" borderId="19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0" fontId="4" fillId="33" borderId="0" xfId="58" applyFont="1" applyFill="1">
      <alignment/>
      <protection/>
    </xf>
    <xf numFmtId="0" fontId="4" fillId="33" borderId="0" xfId="58" applyFont="1" applyFill="1" applyAlignment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9" fillId="34" borderId="0" xfId="0" applyNumberFormat="1" applyFont="1" applyFill="1" applyBorder="1" applyAlignment="1" applyProtection="1">
      <alignment/>
      <protection/>
    </xf>
    <xf numFmtId="0" fontId="15" fillId="0" borderId="45" xfId="58" applyFont="1" applyFill="1" applyBorder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180" fontId="0" fillId="33" borderId="16" xfId="0" applyNumberFormat="1" applyFill="1" applyBorder="1" applyAlignment="1" applyProtection="1">
      <alignment horizontal="center"/>
      <protection/>
    </xf>
    <xf numFmtId="0" fontId="16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180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8" fillId="33" borderId="47" xfId="0" applyFont="1" applyFill="1" applyBorder="1" applyAlignment="1" applyProtection="1">
      <alignment horizontal="center"/>
      <protection/>
    </xf>
    <xf numFmtId="180" fontId="18" fillId="33" borderId="0" xfId="0" applyNumberFormat="1" applyFont="1" applyFill="1" applyBorder="1" applyAlignment="1" applyProtection="1">
      <alignment vertical="top"/>
      <protection/>
    </xf>
    <xf numFmtId="1" fontId="18" fillId="33" borderId="0" xfId="0" applyNumberFormat="1" applyFont="1" applyFill="1" applyBorder="1" applyAlignment="1" applyProtection="1">
      <alignment horizontal="left" vertical="top"/>
      <protection/>
    </xf>
    <xf numFmtId="180" fontId="18" fillId="33" borderId="0" xfId="0" applyNumberFormat="1" applyFont="1" applyFill="1" applyBorder="1" applyAlignment="1" applyProtection="1">
      <alignment/>
      <protection/>
    </xf>
    <xf numFmtId="0" fontId="18" fillId="33" borderId="29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8" fillId="33" borderId="48" xfId="0" applyFont="1" applyFill="1" applyBorder="1" applyAlignment="1" applyProtection="1">
      <alignment horizontal="center"/>
      <protection/>
    </xf>
    <xf numFmtId="180" fontId="18" fillId="33" borderId="31" xfId="0" applyNumberFormat="1" applyFont="1" applyFill="1" applyBorder="1" applyAlignment="1" applyProtection="1">
      <alignment/>
      <protection/>
    </xf>
    <xf numFmtId="0" fontId="18" fillId="33" borderId="31" xfId="0" applyFont="1" applyFill="1" applyBorder="1" applyAlignment="1" applyProtection="1">
      <alignment horizontal="left"/>
      <protection/>
    </xf>
    <xf numFmtId="0" fontId="18" fillId="33" borderId="32" xfId="0" applyFont="1" applyFill="1" applyBorder="1" applyAlignment="1" applyProtection="1">
      <alignment horizontal="left"/>
      <protection/>
    </xf>
    <xf numFmtId="0" fontId="19" fillId="33" borderId="19" xfId="0" applyFont="1" applyFill="1" applyBorder="1" applyAlignment="1">
      <alignment horizontal="right"/>
    </xf>
    <xf numFmtId="186" fontId="19" fillId="33" borderId="19" xfId="0" applyNumberFormat="1" applyFont="1" applyFill="1" applyBorder="1" applyAlignment="1">
      <alignment horizontal="center"/>
    </xf>
    <xf numFmtId="0" fontId="19" fillId="33" borderId="19" xfId="0" applyFont="1" applyFill="1" applyBorder="1" applyAlignment="1">
      <alignment horizontal="left"/>
    </xf>
    <xf numFmtId="0" fontId="19" fillId="33" borderId="19" xfId="0" applyFont="1" applyFill="1" applyBorder="1" applyAlignment="1">
      <alignment/>
    </xf>
    <xf numFmtId="0" fontId="8" fillId="33" borderId="28" xfId="0" applyFont="1" applyFill="1" applyBorder="1" applyAlignment="1" applyProtection="1">
      <alignment horizontal="centerContinuous"/>
      <protection/>
    </xf>
    <xf numFmtId="0" fontId="0" fillId="33" borderId="49" xfId="0" applyFill="1" applyBorder="1" applyAlignment="1">
      <alignment horizontal="center"/>
    </xf>
    <xf numFmtId="180" fontId="0" fillId="33" borderId="40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18" fillId="33" borderId="19" xfId="0" applyFont="1" applyFill="1" applyBorder="1" applyAlignment="1">
      <alignment horizontal="right"/>
    </xf>
    <xf numFmtId="7" fontId="0" fillId="0" borderId="0" xfId="0" applyNumberFormat="1" applyAlignment="1">
      <alignment/>
    </xf>
    <xf numFmtId="182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34" borderId="53" xfId="0" applyFill="1" applyBorder="1" applyAlignment="1">
      <alignment/>
    </xf>
    <xf numFmtId="0" fontId="8" fillId="33" borderId="26" xfId="0" applyFont="1" applyFill="1" applyBorder="1" applyAlignment="1">
      <alignment horizontal="centerContinuous"/>
    </xf>
    <xf numFmtId="0" fontId="8" fillId="33" borderId="28" xfId="0" applyFont="1" applyFill="1" applyBorder="1" applyAlignment="1">
      <alignment horizontal="centerContinuous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/>
      <protection/>
    </xf>
    <xf numFmtId="0" fontId="6" fillId="33" borderId="25" xfId="0" applyNumberFormat="1" applyFont="1" applyFill="1" applyBorder="1" applyAlignment="1" applyProtection="1">
      <alignment horizontal="centerContinuous"/>
      <protection/>
    </xf>
    <xf numFmtId="0" fontId="0" fillId="33" borderId="26" xfId="0" applyNumberFormat="1" applyFill="1" applyBorder="1" applyAlignment="1" applyProtection="1">
      <alignment horizontal="centerContinuous"/>
      <protection/>
    </xf>
    <xf numFmtId="0" fontId="0" fillId="33" borderId="27" xfId="0" applyNumberFormat="1" applyFill="1" applyBorder="1" applyAlignment="1" applyProtection="1">
      <alignment horizontal="centerContinuous"/>
      <protection/>
    </xf>
    <xf numFmtId="189" fontId="0" fillId="0" borderId="0" xfId="0" applyNumberFormat="1" applyAlignment="1" applyProtection="1">
      <alignment/>
      <protection/>
    </xf>
    <xf numFmtId="0" fontId="0" fillId="33" borderId="28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33" borderId="30" xfId="0" applyNumberForma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/>
      <protection/>
    </xf>
    <xf numFmtId="0" fontId="0" fillId="33" borderId="32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Continuous"/>
      <protection/>
    </xf>
    <xf numFmtId="0" fontId="0" fillId="33" borderId="54" xfId="0" applyNumberFormat="1" applyFill="1" applyBorder="1" applyAlignment="1" applyProtection="1">
      <alignment horizontal="centerContinuous"/>
      <protection/>
    </xf>
    <xf numFmtId="0" fontId="0" fillId="33" borderId="51" xfId="0" applyNumberFormat="1" applyFill="1" applyBorder="1" applyAlignment="1" applyProtection="1">
      <alignment horizontal="centerContinuous"/>
      <protection/>
    </xf>
    <xf numFmtId="0" fontId="0" fillId="33" borderId="50" xfId="0" applyNumberForma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9" fillId="34" borderId="51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0" fillId="33" borderId="29" xfId="0" applyNumberFormat="1" applyFill="1" applyBorder="1" applyAlignment="1" applyProtection="1">
      <alignment horizontal="centerContinuous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28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33" borderId="59" xfId="0" applyFont="1" applyFill="1" applyBorder="1" applyAlignment="1">
      <alignment horizontal="center" textRotation="180"/>
    </xf>
    <xf numFmtId="0" fontId="21" fillId="33" borderId="60" xfId="0" applyFont="1" applyFill="1" applyBorder="1" applyAlignment="1">
      <alignment horizontal="center" textRotation="180"/>
    </xf>
    <xf numFmtId="0" fontId="21" fillId="33" borderId="61" xfId="0" applyFont="1" applyFill="1" applyBorder="1" applyAlignment="1">
      <alignment horizontal="center" textRotation="180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 applyProtection="1">
      <alignment horizontal="center" vertical="center"/>
      <protection/>
    </xf>
    <xf numFmtId="0" fontId="21" fillId="33" borderId="28" xfId="0" applyFont="1" applyFill="1" applyBorder="1" applyAlignment="1">
      <alignment horizontal="center" vertical="center"/>
    </xf>
    <xf numFmtId="0" fontId="21" fillId="33" borderId="0" xfId="0" applyFont="1" applyFill="1" applyAlignment="1" applyProtection="1">
      <alignment horizontal="center" vertical="center"/>
      <protection/>
    </xf>
    <xf numFmtId="181" fontId="21" fillId="33" borderId="0" xfId="0" applyNumberFormat="1" applyFont="1" applyFill="1" applyAlignment="1" applyProtection="1">
      <alignment vertical="center"/>
      <protection/>
    </xf>
    <xf numFmtId="181" fontId="21" fillId="33" borderId="29" xfId="0" applyNumberFormat="1" applyFont="1" applyFill="1" applyBorder="1" applyAlignment="1" applyProtection="1">
      <alignment vertical="center"/>
      <protection/>
    </xf>
    <xf numFmtId="0" fontId="21" fillId="33" borderId="28" xfId="0" applyFont="1" applyFill="1" applyBorder="1" applyAlignment="1">
      <alignment vertical="center"/>
    </xf>
    <xf numFmtId="181" fontId="21" fillId="33" borderId="31" xfId="0" applyNumberFormat="1" applyFont="1" applyFill="1" applyBorder="1" applyAlignment="1" applyProtection="1">
      <alignment vertical="center"/>
      <protection/>
    </xf>
    <xf numFmtId="192" fontId="22" fillId="33" borderId="0" xfId="0" applyNumberFormat="1" applyFont="1" applyFill="1" applyAlignment="1" applyProtection="1">
      <alignment vertical="center"/>
      <protection/>
    </xf>
    <xf numFmtId="192" fontId="22" fillId="33" borderId="31" xfId="0" applyNumberFormat="1" applyFont="1" applyFill="1" applyBorder="1" applyAlignment="1" applyProtection="1">
      <alignment vertical="center"/>
      <protection/>
    </xf>
    <xf numFmtId="192" fontId="22" fillId="33" borderId="0" xfId="0" applyNumberFormat="1" applyFont="1" applyFill="1" applyAlignment="1">
      <alignment vertical="center"/>
    </xf>
    <xf numFmtId="192" fontId="22" fillId="33" borderId="31" xfId="0" applyNumberFormat="1" applyFont="1" applyFill="1" applyBorder="1" applyAlignment="1">
      <alignment vertical="center"/>
    </xf>
    <xf numFmtId="2" fontId="21" fillId="33" borderId="0" xfId="0" applyNumberFormat="1" applyFont="1" applyFill="1" applyAlignment="1" applyProtection="1">
      <alignment vertical="center"/>
      <protection/>
    </xf>
    <xf numFmtId="2" fontId="21" fillId="33" borderId="0" xfId="0" applyNumberFormat="1" applyFont="1" applyFill="1" applyBorder="1" applyAlignment="1" applyProtection="1">
      <alignment horizontal="center" vertical="center"/>
      <protection/>
    </xf>
    <xf numFmtId="2" fontId="21" fillId="33" borderId="29" xfId="0" applyNumberFormat="1" applyFont="1" applyFill="1" applyBorder="1" applyAlignment="1">
      <alignment vertical="center"/>
    </xf>
    <xf numFmtId="181" fontId="21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applyProtection="1">
      <alignment horizontal="center" vertical="center"/>
      <protection/>
    </xf>
    <xf numFmtId="2" fontId="21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horizontal="center" vertical="center"/>
    </xf>
    <xf numFmtId="2" fontId="21" fillId="33" borderId="0" xfId="0" applyNumberFormat="1" applyFont="1" applyFill="1" applyAlignment="1">
      <alignment vertical="center"/>
    </xf>
    <xf numFmtId="0" fontId="21" fillId="33" borderId="31" xfId="0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vertical="center"/>
    </xf>
    <xf numFmtId="0" fontId="21" fillId="33" borderId="30" xfId="0" applyFont="1" applyFill="1" applyBorder="1" applyAlignment="1">
      <alignment vertical="center"/>
    </xf>
    <xf numFmtId="2" fontId="21" fillId="33" borderId="32" xfId="0" applyNumberFormat="1" applyFont="1" applyFill="1" applyBorder="1" applyAlignment="1">
      <alignment vertical="center"/>
    </xf>
    <xf numFmtId="192" fontId="22" fillId="33" borderId="0" xfId="0" applyNumberFormat="1" applyFont="1" applyFill="1" applyBorder="1" applyAlignment="1" applyProtection="1">
      <alignment vertical="center"/>
      <protection/>
    </xf>
    <xf numFmtId="192" fontId="22" fillId="33" borderId="0" xfId="0" applyNumberFormat="1" applyFont="1" applyFill="1" applyBorder="1" applyAlignment="1">
      <alignment vertical="center"/>
    </xf>
    <xf numFmtId="181" fontId="21" fillId="33" borderId="29" xfId="0" applyNumberFormat="1" applyFont="1" applyFill="1" applyBorder="1" applyAlignment="1">
      <alignment vertical="center"/>
    </xf>
    <xf numFmtId="181" fontId="21" fillId="33" borderId="3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93" fontId="9" fillId="34" borderId="55" xfId="0" applyNumberFormat="1" applyFont="1" applyFill="1" applyBorder="1" applyAlignment="1">
      <alignment horizontal="center"/>
    </xf>
    <xf numFmtId="194" fontId="9" fillId="34" borderId="55" xfId="0" applyNumberFormat="1" applyFont="1" applyFill="1" applyBorder="1" applyAlignment="1">
      <alignment horizontal="center"/>
    </xf>
    <xf numFmtId="195" fontId="9" fillId="34" borderId="62" xfId="0" applyNumberFormat="1" applyFont="1" applyFill="1" applyBorder="1" applyAlignment="1">
      <alignment horizontal="center"/>
    </xf>
    <xf numFmtId="196" fontId="5" fillId="0" borderId="10" xfId="0" applyNumberFormat="1" applyFont="1" applyFill="1" applyBorder="1" applyAlignment="1" applyProtection="1">
      <alignment/>
      <protection locked="0"/>
    </xf>
    <xf numFmtId="0" fontId="19" fillId="33" borderId="21" xfId="0" applyFont="1" applyFill="1" applyBorder="1" applyAlignment="1">
      <alignment horizontal="right"/>
    </xf>
    <xf numFmtId="0" fontId="6" fillId="33" borderId="25" xfId="59" applyFont="1" applyFill="1" applyBorder="1" applyAlignment="1">
      <alignment horizontal="centerContinuous"/>
      <protection/>
    </xf>
    <xf numFmtId="0" fontId="6" fillId="33" borderId="26" xfId="59" applyFont="1" applyFill="1" applyBorder="1" applyAlignment="1">
      <alignment horizontal="centerContinuous"/>
      <protection/>
    </xf>
    <xf numFmtId="0" fontId="6" fillId="33" borderId="27" xfId="59" applyFont="1" applyFill="1" applyBorder="1" applyAlignment="1">
      <alignment horizontal="centerContinuous"/>
      <protection/>
    </xf>
    <xf numFmtId="0" fontId="4" fillId="0" borderId="0" xfId="59">
      <alignment/>
      <protection/>
    </xf>
    <xf numFmtId="0" fontId="0" fillId="33" borderId="28" xfId="59" applyFont="1" applyFill="1" applyBorder="1" applyAlignment="1">
      <alignment horizontal="centerContinuous"/>
      <protection/>
    </xf>
    <xf numFmtId="0" fontId="4" fillId="33" borderId="0" xfId="59" applyFill="1" applyBorder="1" applyAlignment="1">
      <alignment horizontal="centerContinuous"/>
      <protection/>
    </xf>
    <xf numFmtId="0" fontId="4" fillId="33" borderId="29" xfId="59" applyFill="1" applyBorder="1" applyAlignment="1">
      <alignment horizontal="centerContinuous"/>
      <protection/>
    </xf>
    <xf numFmtId="0" fontId="4" fillId="33" borderId="28" xfId="59" applyFill="1" applyBorder="1">
      <alignment/>
      <protection/>
    </xf>
    <xf numFmtId="0" fontId="4" fillId="33" borderId="0" xfId="59" applyFill="1" applyBorder="1" applyAlignment="1">
      <alignment horizontal="center"/>
      <protection/>
    </xf>
    <xf numFmtId="0" fontId="4" fillId="33" borderId="0" xfId="59" applyFill="1" applyBorder="1">
      <alignment/>
      <protection/>
    </xf>
    <xf numFmtId="0" fontId="4" fillId="33" borderId="29" xfId="59" applyFill="1" applyBorder="1">
      <alignment/>
      <protection/>
    </xf>
    <xf numFmtId="0" fontId="4" fillId="33" borderId="50" xfId="59" applyFill="1" applyBorder="1" applyAlignment="1">
      <alignment horizontal="center"/>
      <protection/>
    </xf>
    <xf numFmtId="0" fontId="4" fillId="33" borderId="40" xfId="59" applyFill="1" applyBorder="1" applyAlignment="1">
      <alignment horizontal="center"/>
      <protection/>
    </xf>
    <xf numFmtId="0" fontId="4" fillId="33" borderId="47" xfId="59" applyFill="1" applyBorder="1" applyAlignment="1">
      <alignment horizontal="center"/>
      <protection/>
    </xf>
    <xf numFmtId="0" fontId="4" fillId="33" borderId="49" xfId="59" applyFill="1" applyBorder="1" applyAlignment="1">
      <alignment horizontal="center"/>
      <protection/>
    </xf>
    <xf numFmtId="0" fontId="4" fillId="33" borderId="51" xfId="59" applyFill="1" applyBorder="1" applyAlignment="1">
      <alignment horizontal="center"/>
      <protection/>
    </xf>
    <xf numFmtId="0" fontId="4" fillId="33" borderId="41" xfId="59" applyFill="1" applyBorder="1" applyAlignment="1">
      <alignment horizontal="center"/>
      <protection/>
    </xf>
    <xf numFmtId="0" fontId="4" fillId="33" borderId="63" xfId="59" applyFill="1" applyBorder="1" applyAlignment="1">
      <alignment horizontal="center"/>
      <protection/>
    </xf>
    <xf numFmtId="0" fontId="4" fillId="33" borderId="52" xfId="59" applyFill="1" applyBorder="1" applyAlignment="1">
      <alignment horizontal="center"/>
      <protection/>
    </xf>
    <xf numFmtId="0" fontId="4" fillId="33" borderId="28" xfId="59" applyFill="1" applyBorder="1" applyAlignment="1">
      <alignment horizontal="right"/>
      <protection/>
    </xf>
    <xf numFmtId="0" fontId="5" fillId="0" borderId="10" xfId="59" applyFont="1" applyFill="1" applyBorder="1" applyProtection="1">
      <alignment/>
      <protection locked="0"/>
    </xf>
    <xf numFmtId="0" fontId="4" fillId="33" borderId="49" xfId="59" applyFill="1" applyBorder="1">
      <alignment/>
      <protection/>
    </xf>
    <xf numFmtId="0" fontId="4" fillId="33" borderId="47" xfId="59" applyFill="1" applyBorder="1">
      <alignment/>
      <protection/>
    </xf>
    <xf numFmtId="0" fontId="4" fillId="33" borderId="0" xfId="59" applyFill="1" applyBorder="1" applyAlignment="1">
      <alignment horizontal="right"/>
      <protection/>
    </xf>
    <xf numFmtId="0" fontId="4" fillId="33" borderId="30" xfId="59" applyFill="1" applyBorder="1">
      <alignment/>
      <protection/>
    </xf>
    <xf numFmtId="0" fontId="4" fillId="33" borderId="31" xfId="59" applyFill="1" applyBorder="1">
      <alignment/>
      <protection/>
    </xf>
    <xf numFmtId="0" fontId="4" fillId="33" borderId="32" xfId="59" applyFill="1" applyBorder="1">
      <alignment/>
      <protection/>
    </xf>
    <xf numFmtId="0" fontId="4" fillId="33" borderId="51" xfId="59" applyFont="1" applyFill="1" applyBorder="1" applyAlignment="1">
      <alignment horizontal="center"/>
      <protection/>
    </xf>
    <xf numFmtId="0" fontId="4" fillId="33" borderId="28" xfId="59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7" fontId="0" fillId="33" borderId="0" xfId="0" applyNumberFormat="1" applyFill="1" applyBorder="1" applyAlignment="1">
      <alignment/>
    </xf>
    <xf numFmtId="0" fontId="0" fillId="34" borderId="31" xfId="0" applyFill="1" applyBorder="1" applyAlignment="1">
      <alignment horizontal="right"/>
    </xf>
    <xf numFmtId="7" fontId="4" fillId="34" borderId="31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horizontal="right"/>
    </xf>
    <xf numFmtId="0" fontId="0" fillId="34" borderId="32" xfId="0" applyFill="1" applyBorder="1" applyAlignment="1">
      <alignment horizontal="left"/>
    </xf>
    <xf numFmtId="0" fontId="0" fillId="34" borderId="38" xfId="0" applyFill="1" applyBorder="1" applyAlignment="1">
      <alignment/>
    </xf>
    <xf numFmtId="0" fontId="0" fillId="34" borderId="38" xfId="0" applyFont="1" applyFill="1" applyBorder="1" applyAlignment="1">
      <alignment horizontal="center"/>
    </xf>
    <xf numFmtId="0" fontId="0" fillId="34" borderId="31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left"/>
    </xf>
    <xf numFmtId="0" fontId="0" fillId="34" borderId="31" xfId="0" applyNumberFormat="1" applyFont="1" applyFill="1" applyBorder="1" applyAlignment="1">
      <alignment horizontal="right"/>
    </xf>
    <xf numFmtId="7" fontId="0" fillId="34" borderId="31" xfId="0" applyNumberFormat="1" applyFont="1" applyFill="1" applyBorder="1" applyAlignment="1">
      <alignment horizontal="left"/>
    </xf>
    <xf numFmtId="7" fontId="0" fillId="34" borderId="38" xfId="0" applyNumberFormat="1" applyFill="1" applyBorder="1" applyAlignment="1">
      <alignment horizontal="right"/>
    </xf>
    <xf numFmtId="7" fontId="0" fillId="34" borderId="38" xfId="0" applyNumberFormat="1" applyFont="1" applyFill="1" applyBorder="1" applyAlignment="1">
      <alignment horizontal="left"/>
    </xf>
    <xf numFmtId="7" fontId="0" fillId="34" borderId="39" xfId="0" applyNumberFormat="1" applyFill="1" applyBorder="1" applyAlignment="1">
      <alignment horizontal="left"/>
    </xf>
    <xf numFmtId="7" fontId="0" fillId="34" borderId="0" xfId="0" applyNumberFormat="1" applyFont="1" applyFill="1" applyBorder="1" applyAlignment="1">
      <alignment horizontal="right"/>
    </xf>
    <xf numFmtId="7" fontId="5" fillId="0" borderId="64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12" fillId="33" borderId="12" xfId="58" applyFont="1" applyFill="1" applyBorder="1" applyAlignment="1">
      <alignment horizontal="centerContinuous"/>
      <protection/>
    </xf>
    <xf numFmtId="0" fontId="12" fillId="33" borderId="13" xfId="58" applyFont="1" applyFill="1" applyBorder="1" applyAlignment="1">
      <alignment horizontal="centerContinuous"/>
      <protection/>
    </xf>
    <xf numFmtId="0" fontId="12" fillId="33" borderId="14" xfId="58" applyFont="1" applyFill="1" applyBorder="1" applyAlignment="1">
      <alignment horizontal="centerContinuous"/>
      <protection/>
    </xf>
    <xf numFmtId="0" fontId="4" fillId="33" borderId="0" xfId="58" applyFont="1" applyFill="1" applyAlignment="1">
      <alignment horizontal="right"/>
      <protection/>
    </xf>
    <xf numFmtId="0" fontId="4" fillId="33" borderId="16" xfId="58" applyFont="1" applyFill="1" applyBorder="1">
      <alignment/>
      <protection/>
    </xf>
    <xf numFmtId="0" fontId="4" fillId="0" borderId="0" xfId="58" applyFill="1" applyBorder="1">
      <alignment/>
      <protection/>
    </xf>
    <xf numFmtId="0" fontId="4" fillId="33" borderId="18" xfId="58" applyFill="1" applyBorder="1" applyAlignment="1">
      <alignment/>
      <protection/>
    </xf>
    <xf numFmtId="0" fontId="4" fillId="33" borderId="19" xfId="58" applyFill="1" applyBorder="1" applyAlignment="1">
      <alignment/>
      <protection/>
    </xf>
    <xf numFmtId="0" fontId="4" fillId="33" borderId="21" xfId="58" applyFill="1" applyBorder="1" applyAlignment="1">
      <alignment/>
      <protection/>
    </xf>
    <xf numFmtId="0" fontId="4" fillId="33" borderId="15" xfId="58" applyFont="1" applyFill="1" applyBorder="1" applyAlignment="1">
      <alignment horizontal="centerContinuous"/>
      <protection/>
    </xf>
    <xf numFmtId="0" fontId="4" fillId="33" borderId="0" xfId="58" applyFill="1" applyAlignment="1">
      <alignment horizontal="centerContinuous"/>
      <protection/>
    </xf>
    <xf numFmtId="0" fontId="4" fillId="33" borderId="16" xfId="58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80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81" fontId="0" fillId="0" borderId="0" xfId="0" applyNumberFormat="1" applyAlignment="1" applyProtection="1">
      <alignment horizontal="centerContinuous"/>
      <protection/>
    </xf>
    <xf numFmtId="19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91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8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5" borderId="56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/>
    </xf>
    <xf numFmtId="0" fontId="0" fillId="35" borderId="50" xfId="0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0" fillId="35" borderId="5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0" borderId="0" xfId="0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0" fillId="36" borderId="50" xfId="0" applyFill="1" applyBorder="1" applyAlignment="1">
      <alignment horizontal="left"/>
    </xf>
    <xf numFmtId="0" fontId="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67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68" xfId="0" applyFill="1" applyBorder="1" applyAlignment="1">
      <alignment/>
    </xf>
    <xf numFmtId="0" fontId="0" fillId="35" borderId="5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66" xfId="0" applyFill="1" applyBorder="1" applyAlignment="1">
      <alignment/>
    </xf>
    <xf numFmtId="0" fontId="13" fillId="36" borderId="56" xfId="0" applyFont="1" applyFill="1" applyBorder="1" applyAlignment="1">
      <alignment horizontal="centerContinuous"/>
    </xf>
    <xf numFmtId="0" fontId="13" fillId="36" borderId="65" xfId="0" applyFont="1" applyFill="1" applyBorder="1" applyAlignment="1">
      <alignment horizontal="centerContinuous"/>
    </xf>
    <xf numFmtId="0" fontId="13" fillId="36" borderId="66" xfId="0" applyFont="1" applyFill="1" applyBorder="1" applyAlignment="1">
      <alignment horizontal="centerContinuous"/>
    </xf>
    <xf numFmtId="0" fontId="24" fillId="36" borderId="56" xfId="0" applyFont="1" applyFill="1" applyBorder="1" applyAlignment="1">
      <alignment horizontal="centerContinuous"/>
    </xf>
    <xf numFmtId="0" fontId="24" fillId="36" borderId="66" xfId="0" applyFont="1" applyFill="1" applyBorder="1" applyAlignment="1">
      <alignment horizontal="centerContinuous"/>
    </xf>
    <xf numFmtId="0" fontId="8" fillId="36" borderId="50" xfId="0" applyFont="1" applyFill="1" applyBorder="1" applyAlignment="1">
      <alignment horizontal="right"/>
    </xf>
    <xf numFmtId="0" fontId="0" fillId="0" borderId="45" xfId="0" applyNumberFormat="1" applyFill="1" applyBorder="1" applyAlignment="1" applyProtection="1">
      <alignment/>
      <protection locked="0"/>
    </xf>
    <xf numFmtId="0" fontId="0" fillId="36" borderId="50" xfId="0" applyNumberFormat="1" applyFill="1" applyBorder="1" applyAlignment="1">
      <alignment/>
    </xf>
    <xf numFmtId="0" fontId="9" fillId="34" borderId="69" xfId="0" applyFont="1" applyFill="1" applyBorder="1" applyAlignment="1">
      <alignment horizontal="center"/>
    </xf>
    <xf numFmtId="195" fontId="9" fillId="34" borderId="7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6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center"/>
    </xf>
    <xf numFmtId="195" fontId="9" fillId="33" borderId="0" xfId="0" applyNumberFormat="1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195" fontId="9" fillId="33" borderId="31" xfId="0" applyNumberFormat="1" applyFont="1" applyFill="1" applyBorder="1" applyAlignment="1">
      <alignment horizontal="center"/>
    </xf>
    <xf numFmtId="0" fontId="0" fillId="33" borderId="67" xfId="0" applyNumberFormat="1" applyFill="1" applyBorder="1" applyAlignment="1" applyProtection="1">
      <alignment/>
      <protection/>
    </xf>
    <xf numFmtId="0" fontId="0" fillId="37" borderId="71" xfId="0" applyNumberFormat="1" applyFill="1" applyBorder="1" applyAlignment="1" applyProtection="1">
      <alignment/>
      <protection/>
    </xf>
    <xf numFmtId="0" fontId="0" fillId="37" borderId="72" xfId="0" applyNumberFormat="1" applyFill="1" applyBorder="1" applyAlignment="1" applyProtection="1">
      <alignment horizontal="right"/>
      <protection/>
    </xf>
    <xf numFmtId="0" fontId="0" fillId="37" borderId="73" xfId="0" applyNumberFormat="1" applyFill="1" applyBorder="1" applyAlignment="1" applyProtection="1">
      <alignment/>
      <protection/>
    </xf>
    <xf numFmtId="0" fontId="0" fillId="37" borderId="74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75" xfId="0" applyFill="1" applyBorder="1" applyAlignment="1">
      <alignment horizontal="center"/>
    </xf>
    <xf numFmtId="0" fontId="0" fillId="37" borderId="76" xfId="0" applyFill="1" applyBorder="1" applyAlignment="1">
      <alignment horizontal="center"/>
    </xf>
    <xf numFmtId="0" fontId="0" fillId="37" borderId="77" xfId="0" applyNumberFormat="1" applyFill="1" applyBorder="1" applyAlignment="1" applyProtection="1">
      <alignment horizontal="center"/>
      <protection/>
    </xf>
    <xf numFmtId="0" fontId="0" fillId="33" borderId="76" xfId="0" applyNumberFormat="1" applyFill="1" applyBorder="1" applyAlignment="1" applyProtection="1">
      <alignment horizontal="left"/>
      <protection/>
    </xf>
    <xf numFmtId="0" fontId="0" fillId="37" borderId="72" xfId="0" applyNumberFormat="1" applyFill="1" applyBorder="1" applyAlignment="1" applyProtection="1">
      <alignment/>
      <protection/>
    </xf>
    <xf numFmtId="0" fontId="0" fillId="37" borderId="78" xfId="0" applyFill="1" applyBorder="1" applyAlignment="1">
      <alignment horizontal="center"/>
    </xf>
    <xf numFmtId="0" fontId="0" fillId="37" borderId="79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 horizontal="centerContinuous"/>
      <protection/>
    </xf>
    <xf numFmtId="0" fontId="0" fillId="33" borderId="63" xfId="0" applyNumberFormat="1" applyFill="1" applyBorder="1" applyAlignment="1" applyProtection="1">
      <alignment horizontal="centerContinuous"/>
      <protection/>
    </xf>
    <xf numFmtId="0" fontId="0" fillId="33" borderId="47" xfId="0" applyNumberFormat="1" applyFill="1" applyBorder="1" applyAlignment="1" applyProtection="1">
      <alignment horizontal="right"/>
      <protection/>
    </xf>
    <xf numFmtId="0" fontId="0" fillId="37" borderId="80" xfId="0" applyFill="1" applyBorder="1" applyAlignment="1">
      <alignment horizontal="center"/>
    </xf>
    <xf numFmtId="0" fontId="0" fillId="37" borderId="81" xfId="0" applyNumberFormat="1" applyFill="1" applyBorder="1" applyAlignment="1" applyProtection="1">
      <alignment horizontal="center"/>
      <protection/>
    </xf>
    <xf numFmtId="0" fontId="0" fillId="37" borderId="47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/>
      <protection/>
    </xf>
    <xf numFmtId="0" fontId="0" fillId="33" borderId="81" xfId="0" applyNumberFormat="1" applyFill="1" applyBorder="1" applyAlignment="1" applyProtection="1">
      <alignment/>
      <protection/>
    </xf>
    <xf numFmtId="0" fontId="0" fillId="33" borderId="82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67" xfId="0" applyFill="1" applyBorder="1" applyAlignment="1">
      <alignment/>
    </xf>
    <xf numFmtId="0" fontId="0" fillId="33" borderId="67" xfId="0" applyNumberFormat="1" applyFill="1" applyBorder="1" applyAlignment="1" applyProtection="1">
      <alignment horizontal="centerContinuous"/>
      <protection/>
    </xf>
    <xf numFmtId="0" fontId="0" fillId="33" borderId="68" xfId="0" applyNumberFormat="1" applyFill="1" applyBorder="1" applyAlignment="1" applyProtection="1">
      <alignment horizontal="centerContinuous"/>
      <protection/>
    </xf>
    <xf numFmtId="0" fontId="0" fillId="33" borderId="67" xfId="0" applyNumberFormat="1" applyFill="1" applyBorder="1" applyAlignment="1" applyProtection="1">
      <alignment horizontal="left"/>
      <protection/>
    </xf>
    <xf numFmtId="0" fontId="0" fillId="33" borderId="83" xfId="0" applyNumberFormat="1" applyFill="1" applyBorder="1" applyAlignment="1" applyProtection="1">
      <alignment/>
      <protection/>
    </xf>
    <xf numFmtId="0" fontId="0" fillId="33" borderId="56" xfId="0" applyNumberFormat="1" applyFill="1" applyBorder="1" applyAlignment="1" applyProtection="1">
      <alignment horizontal="center"/>
      <protection/>
    </xf>
    <xf numFmtId="0" fontId="0" fillId="33" borderId="65" xfId="0" applyNumberFormat="1" applyFill="1" applyBorder="1" applyAlignment="1" applyProtection="1">
      <alignment/>
      <protection/>
    </xf>
    <xf numFmtId="0" fontId="0" fillId="33" borderId="84" xfId="0" applyNumberFormat="1" applyFill="1" applyBorder="1" applyAlignment="1" applyProtection="1">
      <alignment horizontal="centerContinuous"/>
      <protection/>
    </xf>
    <xf numFmtId="0" fontId="0" fillId="33" borderId="66" xfId="0" applyNumberForma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>
      <alignment/>
    </xf>
    <xf numFmtId="0" fontId="0" fillId="37" borderId="85" xfId="0" applyNumberFormat="1" applyFill="1" applyBorder="1" applyAlignment="1" applyProtection="1">
      <alignment horizontal="center"/>
      <protection/>
    </xf>
    <xf numFmtId="0" fontId="0" fillId="37" borderId="86" xfId="0" applyNumberFormat="1" applyFill="1" applyBorder="1" applyAlignment="1" applyProtection="1">
      <alignment horizontal="center"/>
      <protection/>
    </xf>
    <xf numFmtId="0" fontId="0" fillId="37" borderId="87" xfId="0" applyNumberFormat="1" applyFill="1" applyBorder="1" applyAlignment="1" applyProtection="1">
      <alignment horizontal="center"/>
      <protection/>
    </xf>
    <xf numFmtId="0" fontId="0" fillId="37" borderId="88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/>
    </xf>
    <xf numFmtId="0" fontId="0" fillId="38" borderId="89" xfId="0" applyFill="1" applyBorder="1" applyAlignment="1">
      <alignment/>
    </xf>
    <xf numFmtId="0" fontId="0" fillId="38" borderId="90" xfId="0" applyFill="1" applyBorder="1" applyAlignment="1">
      <alignment/>
    </xf>
    <xf numFmtId="0" fontId="0" fillId="38" borderId="91" xfId="0" applyFill="1" applyBorder="1" applyAlignment="1">
      <alignment/>
    </xf>
    <xf numFmtId="0" fontId="0" fillId="37" borderId="51" xfId="0" applyFill="1" applyBorder="1" applyAlignment="1">
      <alignment horizontal="center"/>
    </xf>
    <xf numFmtId="0" fontId="0" fillId="37" borderId="92" xfId="0" applyFill="1" applyBorder="1" applyAlignment="1">
      <alignment horizontal="center"/>
    </xf>
    <xf numFmtId="0" fontId="0" fillId="37" borderId="63" xfId="0" applyFill="1" applyBorder="1" applyAlignment="1">
      <alignment horizontal="center"/>
    </xf>
    <xf numFmtId="0" fontId="0" fillId="37" borderId="93" xfId="0" applyFill="1" applyBorder="1" applyAlignment="1">
      <alignment horizontal="center"/>
    </xf>
    <xf numFmtId="0" fontId="25" fillId="33" borderId="50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10" fillId="33" borderId="28" xfId="0" applyFont="1" applyFill="1" applyBorder="1" applyAlignment="1" applyProtection="1">
      <alignment horizontal="centerContinuous"/>
      <protection/>
    </xf>
    <xf numFmtId="0" fontId="0" fillId="33" borderId="28" xfId="0" applyFont="1" applyFill="1" applyBorder="1" applyAlignment="1" applyProtection="1">
      <alignment horizontal="right"/>
      <protection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0" fillId="33" borderId="95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centerContinuous"/>
      <protection/>
    </xf>
    <xf numFmtId="0" fontId="7" fillId="33" borderId="28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96" xfId="0" applyNumberFormat="1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Continuous"/>
      <protection/>
    </xf>
    <xf numFmtId="0" fontId="0" fillId="33" borderId="28" xfId="0" applyFill="1" applyBorder="1" applyAlignment="1" applyProtection="1">
      <alignment horizontal="centerContinuous"/>
      <protection/>
    </xf>
    <xf numFmtId="0" fontId="4" fillId="0" borderId="0" xfId="57" applyProtection="1">
      <alignment/>
      <protection locked="0"/>
    </xf>
    <xf numFmtId="0" fontId="1" fillId="0" borderId="0" xfId="57" applyFont="1" applyAlignment="1" applyProtection="1">
      <alignment horizontal="right"/>
      <protection locked="0"/>
    </xf>
    <xf numFmtId="0" fontId="4" fillId="0" borderId="54" xfId="57" applyBorder="1" applyProtection="1">
      <alignment/>
      <protection locked="0"/>
    </xf>
    <xf numFmtId="0" fontId="4" fillId="0" borderId="0" xfId="57" applyBorder="1" applyProtection="1">
      <alignment/>
      <protection locked="0"/>
    </xf>
    <xf numFmtId="0" fontId="1" fillId="0" borderId="0" xfId="57" applyFont="1" applyAlignment="1" applyProtection="1">
      <alignment horizontal="center"/>
      <protection locked="0"/>
    </xf>
    <xf numFmtId="0" fontId="4" fillId="0" borderId="0" xfId="57" applyProtection="1" quotePrefix="1">
      <alignment/>
      <protection locked="0"/>
    </xf>
    <xf numFmtId="0" fontId="4" fillId="0" borderId="0" xfId="57" applyFont="1" applyAlignment="1" applyProtection="1">
      <alignment horizontal="right"/>
      <protection locked="0"/>
    </xf>
    <xf numFmtId="0" fontId="1" fillId="0" borderId="97" xfId="57" applyFont="1" applyBorder="1" applyAlignment="1" applyProtection="1">
      <alignment horizontal="centerContinuous"/>
      <protection locked="0"/>
    </xf>
    <xf numFmtId="0" fontId="4" fillId="0" borderId="98" xfId="57" applyBorder="1" applyAlignment="1" applyProtection="1">
      <alignment horizontal="centerContinuous"/>
      <protection locked="0"/>
    </xf>
    <xf numFmtId="0" fontId="1" fillId="0" borderId="99" xfId="57" applyFont="1" applyBorder="1" applyAlignment="1" applyProtection="1">
      <alignment horizontal="center"/>
      <protection locked="0"/>
    </xf>
    <xf numFmtId="0" fontId="1" fillId="0" borderId="100" xfId="57" applyFont="1" applyBorder="1" applyAlignment="1" applyProtection="1">
      <alignment horizontal="center"/>
      <protection locked="0"/>
    </xf>
    <xf numFmtId="0" fontId="1" fillId="0" borderId="97" xfId="57" applyFont="1" applyBorder="1" applyAlignment="1" applyProtection="1">
      <alignment horizontal="center"/>
      <protection locked="0"/>
    </xf>
    <xf numFmtId="0" fontId="1" fillId="0" borderId="101" xfId="57" applyFont="1" applyBorder="1" applyAlignment="1" applyProtection="1">
      <alignment horizontal="center"/>
      <protection locked="0"/>
    </xf>
    <xf numFmtId="198" fontId="4" fillId="0" borderId="102" xfId="57" applyNumberFormat="1" applyBorder="1" applyAlignment="1" applyProtection="1">
      <alignment horizontal="center"/>
      <protection locked="0"/>
    </xf>
    <xf numFmtId="49" fontId="4" fillId="0" borderId="103" xfId="57" applyNumberFormat="1" applyBorder="1" applyAlignment="1" applyProtection="1">
      <alignment horizontal="center"/>
      <protection locked="0"/>
    </xf>
    <xf numFmtId="0" fontId="4" fillId="0" borderId="103" xfId="57" applyBorder="1" applyAlignment="1" applyProtection="1">
      <alignment horizontal="center"/>
      <protection locked="0"/>
    </xf>
    <xf numFmtId="0" fontId="4" fillId="0" borderId="104" xfId="57" applyBorder="1" applyAlignment="1" applyProtection="1">
      <alignment horizontal="center"/>
      <protection locked="0"/>
    </xf>
    <xf numFmtId="0" fontId="4" fillId="0" borderId="105" xfId="57" applyBorder="1" applyAlignment="1" applyProtection="1">
      <alignment horizontal="center"/>
      <protection/>
    </xf>
    <xf numFmtId="198" fontId="4" fillId="0" borderId="106" xfId="57" applyNumberFormat="1" applyBorder="1" applyAlignment="1" applyProtection="1">
      <alignment horizontal="center"/>
      <protection locked="0"/>
    </xf>
    <xf numFmtId="49" fontId="4" fillId="0" borderId="45" xfId="57" applyNumberFormat="1" applyBorder="1" applyAlignment="1" applyProtection="1">
      <alignment horizontal="center"/>
      <protection locked="0"/>
    </xf>
    <xf numFmtId="0" fontId="4" fillId="0" borderId="45" xfId="57" applyBorder="1" applyAlignment="1" applyProtection="1">
      <alignment horizontal="center"/>
      <protection locked="0"/>
    </xf>
    <xf numFmtId="0" fontId="4" fillId="0" borderId="107" xfId="57" applyBorder="1" applyAlignment="1" applyProtection="1">
      <alignment horizontal="center"/>
      <protection locked="0"/>
    </xf>
    <xf numFmtId="0" fontId="4" fillId="0" borderId="108" xfId="57" applyBorder="1" applyAlignment="1" applyProtection="1">
      <alignment horizontal="center"/>
      <protection/>
    </xf>
    <xf numFmtId="198" fontId="4" fillId="0" borderId="109" xfId="57" applyNumberFormat="1" applyBorder="1" applyAlignment="1" applyProtection="1">
      <alignment horizontal="center"/>
      <protection locked="0"/>
    </xf>
    <xf numFmtId="49" fontId="4" fillId="0" borderId="57" xfId="57" applyNumberFormat="1" applyBorder="1" applyAlignment="1" applyProtection="1">
      <alignment horizontal="center"/>
      <protection locked="0"/>
    </xf>
    <xf numFmtId="0" fontId="4" fillId="0" borderId="57" xfId="57" applyBorder="1" applyAlignment="1" applyProtection="1">
      <alignment horizontal="center"/>
      <protection locked="0"/>
    </xf>
    <xf numFmtId="0" fontId="4" fillId="0" borderId="56" xfId="57" applyBorder="1" applyAlignment="1" applyProtection="1">
      <alignment horizontal="center"/>
      <protection locked="0"/>
    </xf>
    <xf numFmtId="198" fontId="4" fillId="0" borderId="110" xfId="57" applyNumberFormat="1" applyBorder="1" applyAlignment="1" applyProtection="1">
      <alignment horizontal="center"/>
      <protection locked="0"/>
    </xf>
    <xf numFmtId="49" fontId="4" fillId="0" borderId="111" xfId="57" applyNumberFormat="1" applyBorder="1" applyAlignment="1" applyProtection="1">
      <alignment horizontal="center"/>
      <protection locked="0"/>
    </xf>
    <xf numFmtId="0" fontId="4" fillId="0" borderId="111" xfId="57" applyBorder="1" applyAlignment="1" applyProtection="1">
      <alignment horizontal="center"/>
      <protection locked="0"/>
    </xf>
    <xf numFmtId="0" fontId="4" fillId="0" borderId="112" xfId="57" applyBorder="1" applyAlignment="1" applyProtection="1">
      <alignment horizontal="center"/>
      <protection locked="0"/>
    </xf>
    <xf numFmtId="0" fontId="4" fillId="0" borderId="113" xfId="57" applyBorder="1" applyAlignment="1" applyProtection="1">
      <alignment horizontal="center"/>
      <protection/>
    </xf>
    <xf numFmtId="0" fontId="4" fillId="0" borderId="114" xfId="57" applyBorder="1" applyAlignment="1" applyProtection="1">
      <alignment horizontal="center"/>
      <protection/>
    </xf>
    <xf numFmtId="0" fontId="4" fillId="0" borderId="115" xfId="57" applyBorder="1" applyAlignment="1" applyProtection="1">
      <alignment horizontal="center"/>
      <protection/>
    </xf>
    <xf numFmtId="0" fontId="4" fillId="0" borderId="116" xfId="57" applyBorder="1" applyAlignment="1" applyProtection="1">
      <alignment horizontal="center"/>
      <protection/>
    </xf>
    <xf numFmtId="0" fontId="4" fillId="0" borderId="0" xfId="57" applyBorder="1" applyAlignment="1" applyProtection="1">
      <alignment horizontal="center"/>
      <protection locked="0"/>
    </xf>
    <xf numFmtId="0" fontId="1" fillId="0" borderId="0" xfId="57" applyFont="1" applyAlignment="1" applyProtection="1">
      <alignment/>
      <protection locked="0"/>
    </xf>
    <xf numFmtId="0" fontId="4" fillId="0" borderId="117" xfId="57" applyBorder="1" applyAlignment="1" applyProtection="1">
      <alignment horizontal="center"/>
      <protection/>
    </xf>
    <xf numFmtId="0" fontId="4" fillId="0" borderId="118" xfId="57" applyBorder="1" applyAlignment="1" applyProtection="1">
      <alignment horizontal="center"/>
      <protection/>
    </xf>
    <xf numFmtId="0" fontId="4" fillId="0" borderId="119" xfId="57" applyBorder="1" applyAlignment="1" applyProtection="1">
      <alignment horizontal="center"/>
      <protection/>
    </xf>
    <xf numFmtId="0" fontId="4" fillId="0" borderId="120" xfId="57" applyBorder="1" applyAlignment="1" applyProtection="1">
      <alignment horizontal="left"/>
      <protection locked="0"/>
    </xf>
    <xf numFmtId="0" fontId="4" fillId="0" borderId="121" xfId="57" applyBorder="1" applyProtection="1">
      <alignment/>
      <protection locked="0"/>
    </xf>
    <xf numFmtId="0" fontId="4" fillId="0" borderId="121" xfId="57" applyBorder="1" applyAlignment="1" applyProtection="1">
      <alignment horizontal="left"/>
      <protection locked="0"/>
    </xf>
    <xf numFmtId="0" fontId="4" fillId="0" borderId="122" xfId="57" applyBorder="1" applyProtection="1">
      <alignment/>
      <protection locked="0"/>
    </xf>
    <xf numFmtId="0" fontId="4" fillId="0" borderId="55" xfId="57" applyBorder="1" applyAlignment="1" applyProtection="1">
      <alignment horizontal="left"/>
      <protection locked="0"/>
    </xf>
    <xf numFmtId="0" fontId="4" fillId="0" borderId="43" xfId="57" applyBorder="1" applyProtection="1">
      <alignment/>
      <protection locked="0"/>
    </xf>
    <xf numFmtId="0" fontId="4" fillId="0" borderId="43" xfId="57" applyBorder="1" applyAlignment="1" applyProtection="1">
      <alignment horizontal="left"/>
      <protection locked="0"/>
    </xf>
    <xf numFmtId="0" fontId="4" fillId="0" borderId="123" xfId="57" applyBorder="1" applyProtection="1">
      <alignment/>
      <protection locked="0"/>
    </xf>
    <xf numFmtId="0" fontId="1" fillId="0" borderId="124" xfId="57" applyFont="1" applyBorder="1" applyAlignment="1" applyProtection="1">
      <alignment horizontal="center"/>
      <protection locked="0"/>
    </xf>
    <xf numFmtId="1" fontId="4" fillId="0" borderId="117" xfId="57" applyNumberFormat="1" applyBorder="1" applyAlignment="1" applyProtection="1">
      <alignment horizontal="center"/>
      <protection/>
    </xf>
    <xf numFmtId="1" fontId="4" fillId="0" borderId="118" xfId="57" applyNumberFormat="1" applyBorder="1" applyAlignment="1" applyProtection="1">
      <alignment horizontal="center"/>
      <protection/>
    </xf>
    <xf numFmtId="1" fontId="4" fillId="0" borderId="119" xfId="57" applyNumberFormat="1" applyBorder="1" applyAlignment="1" applyProtection="1">
      <alignment horizontal="center"/>
      <protection/>
    </xf>
    <xf numFmtId="1" fontId="4" fillId="0" borderId="0" xfId="57" applyNumberFormat="1" applyBorder="1" applyAlignment="1" applyProtection="1">
      <alignment horizontal="center"/>
      <protection locked="0"/>
    </xf>
    <xf numFmtId="0" fontId="4" fillId="0" borderId="51" xfId="57" applyBorder="1" applyAlignment="1" applyProtection="1">
      <alignment horizontal="left"/>
      <protection locked="0"/>
    </xf>
    <xf numFmtId="0" fontId="4" fillId="0" borderId="54" xfId="57" applyBorder="1" applyAlignment="1" applyProtection="1">
      <alignment horizontal="left"/>
      <protection locked="0"/>
    </xf>
    <xf numFmtId="0" fontId="4" fillId="0" borderId="68" xfId="57" applyBorder="1" applyProtection="1">
      <alignment/>
      <protection locked="0"/>
    </xf>
    <xf numFmtId="1" fontId="1" fillId="0" borderId="125" xfId="57" applyNumberFormat="1" applyFont="1" applyBorder="1" applyAlignment="1" applyProtection="1">
      <alignment horizontal="center"/>
      <protection locked="0"/>
    </xf>
    <xf numFmtId="2" fontId="4" fillId="0" borderId="126" xfId="57" applyNumberFormat="1" applyBorder="1" applyAlignment="1" applyProtection="1">
      <alignment horizontal="center"/>
      <protection/>
    </xf>
    <xf numFmtId="2" fontId="4" fillId="0" borderId="127" xfId="57" applyNumberFormat="1" applyBorder="1" applyAlignment="1" applyProtection="1">
      <alignment horizontal="center"/>
      <protection/>
    </xf>
    <xf numFmtId="2" fontId="4" fillId="0" borderId="128" xfId="57" applyNumberFormat="1" applyBorder="1" applyAlignment="1" applyProtection="1">
      <alignment horizontal="center"/>
      <protection/>
    </xf>
    <xf numFmtId="2" fontId="4" fillId="0" borderId="0" xfId="57" applyNumberFormat="1" applyBorder="1" applyAlignment="1" applyProtection="1">
      <alignment horizontal="center"/>
      <protection locked="0"/>
    </xf>
    <xf numFmtId="0" fontId="32" fillId="0" borderId="0" xfId="57" applyFont="1" applyProtection="1">
      <alignment/>
      <protection locked="0"/>
    </xf>
    <xf numFmtId="0" fontId="4" fillId="0" borderId="54" xfId="57" applyBorder="1" applyAlignment="1" applyProtection="1">
      <alignment/>
      <protection locked="0"/>
    </xf>
    <xf numFmtId="0" fontId="0" fillId="37" borderId="28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lood Pressure Record Lorraine Cliff" xfId="57"/>
    <cellStyle name="Normal_Calorie" xfId="58"/>
    <cellStyle name="Normal_Cone Fa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75"/>
          <c:w val="0.95225"/>
          <c:h val="0.944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/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/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/>
            </c:numRef>
          </c:val>
          <c:smooth val="0"/>
        </c:ser>
        <c:marker val="1"/>
        <c:axId val="18789831"/>
        <c:axId val="34890752"/>
      </c:lineChart>
      <c:catAx>
        <c:axId val="1878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0752"/>
        <c:crosses val="autoZero"/>
        <c:auto val="1"/>
        <c:lblOffset val="100"/>
        <c:tickLblSkip val="5"/>
        <c:noMultiLvlLbl val="0"/>
      </c:catAx>
      <c:valAx>
        <c:axId val="34890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9831"/>
        <c:crossesAt val="1"/>
        <c:crossBetween val="between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69"/>
          <c:w val="0.543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0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10</xdr:row>
      <xdr:rowOff>38100</xdr:rowOff>
    </xdr:from>
    <xdr:to>
      <xdr:col>6</xdr:col>
      <xdr:colOff>333375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400550" y="2019300"/>
          <a:ext cx="1247775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142875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581525" y="2209800"/>
          <a:ext cx="876300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142875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581525" y="2209800"/>
          <a:ext cx="876300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0</xdr:rowOff>
    </xdr:from>
    <xdr:to>
      <xdr:col>5</xdr:col>
      <xdr:colOff>581025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4905375" y="2552700"/>
          <a:ext cx="22860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352425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581525" y="26574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104775</xdr:rowOff>
    </xdr:from>
    <xdr:to>
      <xdr:col>6</xdr:col>
      <xdr:colOff>142875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095875" y="2657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9525</xdr:rowOff>
    </xdr:from>
    <xdr:to>
      <xdr:col>6</xdr:col>
      <xdr:colOff>523875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457825" y="3133725"/>
          <a:ext cx="381000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295275</xdr:colOff>
      <xdr:row>12</xdr:row>
      <xdr:rowOff>19050</xdr:rowOff>
    </xdr:from>
    <xdr:to>
      <xdr:col>6</xdr:col>
      <xdr:colOff>723900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610225" y="2381250"/>
          <a:ext cx="428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123825</xdr:rowOff>
    </xdr:from>
    <xdr:to>
      <xdr:col>5</xdr:col>
      <xdr:colOff>561975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705350" y="3248025"/>
          <a:ext cx="409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17</xdr:row>
      <xdr:rowOff>28575</xdr:rowOff>
    </xdr:from>
    <xdr:to>
      <xdr:col>6</xdr:col>
      <xdr:colOff>95250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105400" y="3343275"/>
          <a:ext cx="304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14</xdr:row>
      <xdr:rowOff>9525</xdr:rowOff>
    </xdr:from>
    <xdr:to>
      <xdr:col>6</xdr:col>
      <xdr:colOff>619125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629275" y="2752725"/>
          <a:ext cx="304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K20"/>
  <sheetViews>
    <sheetView showGridLines="0" showRowColHeaders="0" zoomScale="75" zoomScaleNormal="75" zoomScalePageLayoutView="0" workbookViewId="0" topLeftCell="A1">
      <selection activeCell="E18" sqref="E18"/>
    </sheetView>
  </sheetViews>
  <sheetFormatPr defaultColWidth="8.886718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7" max="7" width="8.88671875" style="0" customWidth="1"/>
    <col min="8" max="8" width="10.77734375" style="0" customWidth="1"/>
    <col min="9" max="9" width="5.77734375" style="0" customWidth="1"/>
    <col min="10" max="10" width="8.88671875" style="0" customWidth="1"/>
    <col min="11" max="11" width="10.777343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>
        <v>8777</v>
      </c>
      <c r="D4" s="149"/>
      <c r="E4" s="76">
        <v>877</v>
      </c>
      <c r="F4" s="18"/>
      <c r="G4" s="38" t="s">
        <v>7</v>
      </c>
      <c r="H4" s="45">
        <v>876</v>
      </c>
      <c r="I4" s="39"/>
      <c r="J4" s="47" t="s">
        <v>8</v>
      </c>
      <c r="K4" s="46"/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-8778</v>
      </c>
      <c r="I16" s="39"/>
      <c r="J16" s="47" t="s">
        <v>16</v>
      </c>
      <c r="K16" s="48">
        <f>SUM(K4-K8+K11)</f>
        <v>0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-8778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9654</v>
      </c>
      <c r="F20" s="21"/>
      <c r="G20" s="168" t="str">
        <f>IF(J19=0,"",IF(J19&lt;0,"Subtract","Add"))</f>
        <v>Subtract</v>
      </c>
      <c r="H20" s="169">
        <f>IF(J19=0,"",J19)</f>
        <v>-8778</v>
      </c>
      <c r="I20" s="170" t="str">
        <f>IF(J19=0,"",IF(J19&lt;0,"from checkbook","to checkbook"))</f>
        <v>from checkbook</v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T72"/>
  <sheetViews>
    <sheetView showGridLines="0" showRowColHeaders="0" zoomScalePageLayoutView="0" workbookViewId="0" topLeftCell="A1">
      <selection activeCell="T43" sqref="T43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227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228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229</v>
      </c>
      <c r="L53" s="232"/>
      <c r="M53" s="230" t="s">
        <v>230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231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232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233</v>
      </c>
      <c r="N55" s="236">
        <v>0.75</v>
      </c>
      <c r="O55" s="231"/>
      <c r="P55" s="232"/>
      <c r="Q55" s="230" t="s">
        <v>234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235</v>
      </c>
      <c r="L56" s="232"/>
      <c r="M56" s="230" t="s">
        <v>236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237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238</v>
      </c>
      <c r="J58" s="236">
        <v>0.3438</v>
      </c>
      <c r="K58" s="231"/>
      <c r="L58" s="232"/>
      <c r="M58" s="230" t="s">
        <v>239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240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241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242</v>
      </c>
      <c r="L61" s="232"/>
      <c r="M61" s="230"/>
      <c r="N61" s="236">
        <v>0.8071</v>
      </c>
      <c r="O61" s="231"/>
      <c r="P61" s="232">
        <v>20.5</v>
      </c>
      <c r="Q61" s="230" t="s">
        <v>243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244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245</v>
      </c>
      <c r="R63" s="236">
        <v>1.4375</v>
      </c>
      <c r="S63" s="233"/>
      <c r="T63" s="223"/>
    </row>
    <row r="64" spans="1:20" ht="9" customHeight="1">
      <c r="A64" s="230" t="s">
        <v>246</v>
      </c>
      <c r="B64" s="236">
        <v>0.1094</v>
      </c>
      <c r="C64" s="231"/>
      <c r="D64" s="232"/>
      <c r="E64" s="230" t="s">
        <v>247</v>
      </c>
      <c r="F64" s="236">
        <v>0.2188</v>
      </c>
      <c r="G64" s="231"/>
      <c r="H64" s="232"/>
      <c r="I64" s="230"/>
      <c r="J64" s="236">
        <v>0.358</v>
      </c>
      <c r="K64" s="231" t="s">
        <v>248</v>
      </c>
      <c r="L64" s="232"/>
      <c r="M64" s="230" t="s">
        <v>249</v>
      </c>
      <c r="N64" s="236">
        <v>0.8281</v>
      </c>
      <c r="O64" s="231"/>
      <c r="P64" s="232"/>
      <c r="Q64" s="230" t="s">
        <v>250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251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252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253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254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255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256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257</v>
      </c>
      <c r="L70" s="232"/>
      <c r="M70" s="230"/>
      <c r="N70" s="236">
        <v>0.8858</v>
      </c>
      <c r="O70" s="231"/>
      <c r="P70" s="232">
        <v>22.5</v>
      </c>
      <c r="Q70" s="230" t="s">
        <v>258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259</v>
      </c>
      <c r="N71" s="236">
        <v>0.8906</v>
      </c>
      <c r="O71" s="231"/>
      <c r="P71" s="232"/>
      <c r="Q71" s="230" t="s">
        <v>260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261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74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262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227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230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229</v>
      </c>
      <c r="P43" s="240"/>
      <c r="Q43" s="230" t="s">
        <v>233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236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231</v>
      </c>
      <c r="J46" s="236">
        <v>0.2031</v>
      </c>
      <c r="K46" s="231"/>
      <c r="L46" s="240"/>
      <c r="M46" s="230"/>
      <c r="N46" s="236">
        <v>0.339</v>
      </c>
      <c r="O46" s="231" t="s">
        <v>235</v>
      </c>
      <c r="P46" s="240"/>
      <c r="Q46" s="230" t="s">
        <v>239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238</v>
      </c>
      <c r="N48" s="236">
        <v>0.3438</v>
      </c>
      <c r="O48" s="231"/>
      <c r="P48" s="240"/>
      <c r="Q48" s="230" t="s">
        <v>241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244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242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249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251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248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254</v>
      </c>
      <c r="R55" s="236">
        <v>0.8594</v>
      </c>
      <c r="S55" s="243"/>
      <c r="T55" s="242"/>
    </row>
    <row r="56" spans="1:20" ht="9" customHeight="1">
      <c r="A56" s="230" t="s">
        <v>263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247</v>
      </c>
      <c r="J56" s="236">
        <v>0.2188</v>
      </c>
      <c r="K56" s="231"/>
      <c r="L56" s="240"/>
      <c r="M56" s="230" t="s">
        <v>252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256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246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259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257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261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24"/>
    <pageSetUpPr fitToPage="1"/>
  </sheetPr>
  <dimension ref="B1:K52"/>
  <sheetViews>
    <sheetView showGridLines="0" showRowColHeaders="0" zoomScale="75" zoomScaleNormal="75" zoomScalePageLayoutView="0" workbookViewId="0" topLeftCell="A1">
      <selection activeCell="M36" sqref="M36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264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1" t="s">
        <v>90</v>
      </c>
    </row>
    <row r="3" spans="2:11" ht="15" customHeight="1">
      <c r="B3" s="107" t="s">
        <v>268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269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881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880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270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271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272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273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274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275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276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878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879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277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278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279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280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896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296</v>
      </c>
      <c r="C45" s="98" t="s">
        <v>893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300</v>
      </c>
      <c r="C46" s="98" t="s">
        <v>894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296</v>
      </c>
      <c r="C47" s="98" t="s">
        <v>893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310</v>
      </c>
      <c r="C48" s="98" t="s">
        <v>895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S53"/>
  <sheetViews>
    <sheetView showGridLines="0" showRowColHeaders="0" zoomScale="75" zoomScaleNormal="75" zoomScalePageLayoutView="0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885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0" t="s">
        <v>90</v>
      </c>
      <c r="L2" s="128" t="s">
        <v>265</v>
      </c>
      <c r="M2" s="129" t="s">
        <v>266</v>
      </c>
      <c r="N2" s="129" t="s">
        <v>267</v>
      </c>
      <c r="O2" s="130" t="s">
        <v>90</v>
      </c>
      <c r="P2" s="128" t="s">
        <v>265</v>
      </c>
      <c r="Q2" s="129" t="s">
        <v>266</v>
      </c>
      <c r="R2" s="129" t="s">
        <v>267</v>
      </c>
      <c r="S2" s="131" t="s">
        <v>90</v>
      </c>
    </row>
    <row r="3" spans="2:19" ht="15" customHeight="1">
      <c r="B3" s="107" t="s">
        <v>889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890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270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271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891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886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882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888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887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883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884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892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878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879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280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896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897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296</v>
      </c>
      <c r="C46" s="456" t="s">
        <v>893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300</v>
      </c>
      <c r="C47" s="456" t="s">
        <v>894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296</v>
      </c>
      <c r="C48" s="98" t="s">
        <v>893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310</v>
      </c>
      <c r="C49" s="98" t="s">
        <v>895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1" stopIfTrue="1">
      <formula>$C$13&lt;&gt;""</formula>
    </cfRule>
  </conditionalFormatting>
  <conditionalFormatting sqref="C13">
    <cfRule type="expression" priority="2" dxfId="1" stopIfTrue="1">
      <formula>$C$12&lt;&gt;""</formula>
    </cfRule>
  </conditionalFormatting>
  <conditionalFormatting sqref="C53">
    <cfRule type="expression" priority="3" dxfId="6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B1:J25"/>
  <sheetViews>
    <sheetView showGridLines="0" showRowColHeaders="0" zoomScale="75" zoomScaleNormal="75" zoomScalePageLayoutView="0" workbookViewId="0" topLeftCell="A1">
      <selection activeCell="E4" sqref="E4"/>
    </sheetView>
  </sheetViews>
  <sheetFormatPr defaultColWidth="8.886718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</cols>
  <sheetData>
    <row r="1" spans="2:10" ht="24" thickTop="1">
      <c r="B1" s="7" t="s">
        <v>281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282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283</v>
      </c>
      <c r="E4" s="2"/>
      <c r="F4" s="18"/>
      <c r="G4" s="150" t="s">
        <v>90</v>
      </c>
      <c r="H4" s="150" t="s">
        <v>284</v>
      </c>
      <c r="I4" s="150" t="s">
        <v>285</v>
      </c>
      <c r="J4" s="151" t="s">
        <v>286</v>
      </c>
    </row>
    <row r="5" spans="2:10" ht="15">
      <c r="B5" s="29"/>
      <c r="C5" s="18"/>
      <c r="D5" s="38" t="s">
        <v>287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288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289</v>
      </c>
      <c r="E7" s="3">
        <v>1</v>
      </c>
      <c r="F7" s="50" t="s">
        <v>290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291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292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293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294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295</v>
      </c>
      <c r="C13" s="18"/>
      <c r="D13" s="38" t="s">
        <v>296</v>
      </c>
      <c r="E13" s="15" t="s">
        <v>297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298</v>
      </c>
      <c r="C14" s="38" t="s">
        <v>299</v>
      </c>
      <c r="D14" s="38" t="s">
        <v>300</v>
      </c>
      <c r="E14" s="15" t="s">
        <v>301</v>
      </c>
      <c r="F14" s="18" t="s">
        <v>302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303</v>
      </c>
      <c r="C15" s="38" t="s">
        <v>304</v>
      </c>
      <c r="D15" s="18"/>
      <c r="E15" s="18"/>
      <c r="F15" s="18" t="s">
        <v>305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306</v>
      </c>
      <c r="C16" s="38" t="s">
        <v>307</v>
      </c>
      <c r="D16" s="38" t="s">
        <v>296</v>
      </c>
      <c r="E16" s="15" t="s">
        <v>297</v>
      </c>
      <c r="F16" s="15" t="s">
        <v>308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309</v>
      </c>
      <c r="C17" s="150"/>
      <c r="D17" s="38" t="s">
        <v>310</v>
      </c>
      <c r="E17" s="15" t="s">
        <v>311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312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313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314</v>
      </c>
      <c r="C20" s="18"/>
      <c r="D20" s="11" t="s">
        <v>293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K26"/>
  <sheetViews>
    <sheetView showGridLines="0" showRowColHeaders="0" zoomScale="75" zoomScaleNormal="75" zoomScalePageLayoutView="0" workbookViewId="0" topLeftCell="A1">
      <selection activeCell="N38" sqref="N38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315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316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317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318</v>
      </c>
      <c r="E5" s="277" t="s">
        <v>319</v>
      </c>
      <c r="F5" s="276" t="s">
        <v>320</v>
      </c>
      <c r="G5" s="277" t="s">
        <v>320</v>
      </c>
      <c r="H5" s="278" t="s">
        <v>318</v>
      </c>
      <c r="I5" s="277" t="s">
        <v>319</v>
      </c>
      <c r="J5" s="276" t="s">
        <v>321</v>
      </c>
      <c r="K5" s="279" t="s">
        <v>321</v>
      </c>
    </row>
    <row r="6" spans="1:11" ht="12.75">
      <c r="A6" s="272"/>
      <c r="B6" s="273"/>
      <c r="C6" s="273"/>
      <c r="D6" s="280" t="s">
        <v>322</v>
      </c>
      <c r="E6" s="281" t="s">
        <v>322</v>
      </c>
      <c r="F6" s="280" t="s">
        <v>323</v>
      </c>
      <c r="G6" s="281" t="s">
        <v>324</v>
      </c>
      <c r="H6" s="282" t="s">
        <v>128</v>
      </c>
      <c r="I6" s="281" t="s">
        <v>128</v>
      </c>
      <c r="J6" s="292" t="s">
        <v>325</v>
      </c>
      <c r="K6" s="283" t="s">
        <v>323</v>
      </c>
    </row>
    <row r="7" spans="1:11" ht="15">
      <c r="A7" s="284" t="s">
        <v>326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327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328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329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330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331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332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34"/>
  </sheetPr>
  <dimension ref="B1:J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8.886718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</cols>
  <sheetData>
    <row r="1" spans="2:10" ht="24" thickTop="1">
      <c r="B1" s="7" t="s">
        <v>333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334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335</v>
      </c>
      <c r="I4" s="50" t="s">
        <v>336</v>
      </c>
      <c r="J4" s="19"/>
    </row>
    <row r="5" spans="2:10" ht="15">
      <c r="B5" s="52" t="s">
        <v>337</v>
      </c>
      <c r="C5" s="38" t="s">
        <v>338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339</v>
      </c>
      <c r="C6" s="38" t="s">
        <v>340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341</v>
      </c>
      <c r="C7" s="38" t="s">
        <v>342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322</v>
      </c>
      <c r="C8" s="38" t="s">
        <v>343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336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H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8.88671875" defaultRowHeight="15"/>
  <cols>
    <col min="1" max="1" width="7.77734375" style="0" customWidth="1"/>
    <col min="2" max="2" width="21.77734375" style="0" customWidth="1"/>
    <col min="3" max="3" width="5.77734375" style="0" customWidth="1"/>
    <col min="4" max="7" width="8.88671875" style="0" customWidth="1"/>
    <col min="8" max="8" width="3.77734375" style="0" customWidth="1"/>
  </cols>
  <sheetData>
    <row r="1" spans="2:8" ht="24" thickTop="1">
      <c r="B1" s="7" t="s">
        <v>344</v>
      </c>
      <c r="C1" s="8"/>
      <c r="D1" s="8"/>
      <c r="E1" s="8"/>
      <c r="F1" s="8"/>
      <c r="G1" s="8"/>
      <c r="H1" s="56"/>
    </row>
    <row r="2" spans="2:8" ht="13.5" customHeight="1">
      <c r="B2" s="49" t="s">
        <v>345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346</v>
      </c>
      <c r="G4" s="50" t="s">
        <v>347</v>
      </c>
      <c r="H4" s="19"/>
    </row>
    <row r="5" spans="2:8" ht="15">
      <c r="B5" s="52" t="s">
        <v>348</v>
      </c>
      <c r="C5" s="38" t="s">
        <v>349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350</v>
      </c>
      <c r="C6" s="38" t="s">
        <v>351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352</v>
      </c>
      <c r="C7" s="38" t="s">
        <v>353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294</v>
      </c>
      <c r="C12" s="57"/>
      <c r="D12" s="57"/>
      <c r="E12" s="18"/>
      <c r="F12" s="18"/>
      <c r="G12" s="18"/>
      <c r="H12" s="19"/>
    </row>
    <row r="13" spans="2:8" ht="15">
      <c r="B13" s="49" t="s">
        <v>354</v>
      </c>
      <c r="C13" s="11"/>
      <c r="D13" s="11"/>
      <c r="E13" s="18"/>
      <c r="F13" s="18"/>
      <c r="G13" s="18"/>
      <c r="H13" s="19"/>
    </row>
    <row r="14" spans="2:8" ht="15">
      <c r="B14" s="49" t="s">
        <v>355</v>
      </c>
      <c r="C14" s="11"/>
      <c r="D14" s="11"/>
      <c r="E14" s="18"/>
      <c r="F14" s="18" t="s">
        <v>346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39"/>
  </sheetPr>
  <dimension ref="B2:H24"/>
  <sheetViews>
    <sheetView showGridLines="0" showRowColHeaders="0" zoomScale="75" zoomScaleNormal="75" zoomScalePageLayoutView="0" workbookViewId="0" topLeftCell="A1">
      <selection activeCell="K46" sqref="K45:K46"/>
    </sheetView>
  </sheetViews>
  <sheetFormatPr defaultColWidth="8.88671875" defaultRowHeight="15"/>
  <cols>
    <col min="1" max="1" width="7.77734375" style="0" customWidth="1"/>
    <col min="2" max="2" width="14.77734375" style="0" customWidth="1"/>
    <col min="3" max="3" width="8.88671875" style="0" customWidth="1"/>
    <col min="4" max="4" width="12.77734375" style="0" customWidth="1"/>
    <col min="5" max="7" width="8.88671875" style="0" customWidth="1"/>
    <col min="8" max="8" width="10.77734375" style="0" customWidth="1"/>
  </cols>
  <sheetData>
    <row r="1" ht="15.75" thickBot="1"/>
    <row r="2" spans="2:8" ht="24" thickTop="1">
      <c r="B2" s="7" t="s">
        <v>356</v>
      </c>
      <c r="C2" s="25"/>
      <c r="D2" s="25"/>
      <c r="E2" s="25"/>
      <c r="F2" s="25"/>
      <c r="G2" s="25"/>
      <c r="H2" s="26"/>
    </row>
    <row r="3" spans="2:8" ht="15.75">
      <c r="B3" s="79" t="s">
        <v>357</v>
      </c>
      <c r="C3" s="11"/>
      <c r="D3" s="11"/>
      <c r="E3" s="11"/>
      <c r="F3" s="11"/>
      <c r="G3" s="11"/>
      <c r="H3" s="13"/>
    </row>
    <row r="4" spans="2:8" ht="15">
      <c r="B4" s="53">
        <f>IF(D4="","",+D4)</f>
        <v>3</v>
      </c>
      <c r="C4" s="50" t="s">
        <v>90</v>
      </c>
      <c r="D4" s="3">
        <v>3</v>
      </c>
      <c r="E4" s="138">
        <f>IF(D4+D5+D6="","",TRUNC(B4))</f>
        <v>3</v>
      </c>
      <c r="F4" s="15" t="s">
        <v>90</v>
      </c>
      <c r="G4" s="38" t="s">
        <v>358</v>
      </c>
      <c r="H4" s="17">
        <f>IF(D4+D5+D6="","",SIN(B7/180*PI()))</f>
        <v>0.05322192867613335</v>
      </c>
    </row>
    <row r="5" spans="2:8" ht="15">
      <c r="B5" s="53">
        <f>IF(D5="","",D5/60)</f>
        <v>0.05</v>
      </c>
      <c r="C5" s="50" t="s">
        <v>111</v>
      </c>
      <c r="D5" s="3">
        <v>3</v>
      </c>
      <c r="E5" s="18">
        <f>IF(D4+D5+D6="","",TRUNC((B7-E4)*60))</f>
        <v>3</v>
      </c>
      <c r="F5" s="15" t="s">
        <v>111</v>
      </c>
      <c r="G5" s="38" t="s">
        <v>359</v>
      </c>
      <c r="H5" s="17">
        <f>IF(D4+D5+D6="","",COS(B7/180*PI()))</f>
        <v>0.998582708796819</v>
      </c>
    </row>
    <row r="6" spans="2:8" ht="15">
      <c r="B6" s="75">
        <f>IF(D6="","",D6/3600)</f>
        <v>0.0008333333333333334</v>
      </c>
      <c r="C6" s="50" t="s">
        <v>112</v>
      </c>
      <c r="D6" s="3">
        <v>3</v>
      </c>
      <c r="E6" s="146">
        <f>IF(D4+D5+D6="","",((B7-E4)*60-E5)*60)</f>
        <v>2.9999999999998295</v>
      </c>
      <c r="F6" s="15" t="s">
        <v>112</v>
      </c>
      <c r="G6" s="18"/>
      <c r="H6" s="134"/>
    </row>
    <row r="7" spans="2:8" ht="15">
      <c r="B7" s="53">
        <f>IF(D4+D5+D6="","",SUM(B4+B5+B6))</f>
        <v>3.0508333333333333</v>
      </c>
      <c r="C7" s="15" t="s">
        <v>113</v>
      </c>
      <c r="D7" s="18"/>
      <c r="E7" s="18"/>
      <c r="F7" s="18"/>
      <c r="G7" s="38" t="s">
        <v>360</v>
      </c>
      <c r="H7" s="17">
        <f>IF(D4+D5+D6="","",TAN(B7/180*PI()))</f>
        <v>0.0532974667068488</v>
      </c>
    </row>
    <row r="8" spans="2:8" ht="15">
      <c r="B8" s="36" t="s">
        <v>361</v>
      </c>
      <c r="C8" s="18"/>
      <c r="D8" s="18"/>
      <c r="E8" s="18"/>
      <c r="F8" s="18"/>
      <c r="G8" s="38" t="s">
        <v>362</v>
      </c>
      <c r="H8" s="17">
        <f>IF(D4+D5+D6="","",1/H7)</f>
        <v>18.762617846365643</v>
      </c>
    </row>
    <row r="9" spans="2:8" ht="15">
      <c r="B9" s="29"/>
      <c r="C9" s="38" t="s">
        <v>363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363</v>
      </c>
      <c r="D10" s="137"/>
      <c r="E10" s="18" t="s">
        <v>364</v>
      </c>
      <c r="F10" s="18"/>
      <c r="G10" s="38" t="s">
        <v>365</v>
      </c>
      <c r="H10" s="17">
        <f>IF(D4+D5+D6="","",1/H5)</f>
        <v>1.0014193027685094</v>
      </c>
    </row>
    <row r="11" spans="2:8" ht="15">
      <c r="B11" s="143" t="s">
        <v>366</v>
      </c>
      <c r="C11" s="18"/>
      <c r="D11" s="18"/>
      <c r="E11" s="18"/>
      <c r="F11" s="18"/>
      <c r="G11" s="38" t="s">
        <v>367</v>
      </c>
      <c r="H11" s="17">
        <f>IF(D4+D5+D6="","",1/H4)</f>
        <v>18.789247681819475</v>
      </c>
    </row>
    <row r="12" spans="2:8" ht="15">
      <c r="B12" s="143" t="s">
        <v>368</v>
      </c>
      <c r="C12" s="18"/>
      <c r="D12" s="142"/>
      <c r="E12" s="15"/>
      <c r="F12" s="18"/>
      <c r="G12" s="38"/>
      <c r="H12" s="17"/>
    </row>
    <row r="13" spans="2:8" ht="15">
      <c r="B13" s="143" t="s">
        <v>369</v>
      </c>
      <c r="C13" s="18"/>
      <c r="D13" s="142"/>
      <c r="E13" s="15"/>
      <c r="F13" s="18"/>
      <c r="G13" s="38" t="s">
        <v>370</v>
      </c>
      <c r="H13" s="17">
        <f>IF(D4+D5+D6="","",B7*0.0174532925199433)</f>
        <v>0.053247086596260346</v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8.886718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1" max="21" width="8.88671875" style="0" customWidth="1"/>
    <col min="22" max="22" width="56.77734375" style="0" customWidth="1"/>
    <col min="23" max="24" width="26.6640625" style="0" customWidth="1"/>
    <col min="25" max="25" width="16.77734375" style="0" customWidth="1"/>
    <col min="26" max="26" width="8.886718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24" t="s">
        <v>371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372</v>
      </c>
      <c r="T1" s="324"/>
      <c r="V1" t="s">
        <v>373</v>
      </c>
      <c r="W1" t="s">
        <v>94</v>
      </c>
      <c r="X1" t="s">
        <v>95</v>
      </c>
      <c r="Y1" t="s">
        <v>374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261</v>
      </c>
      <c r="L2" s="331" t="s">
        <v>262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375</v>
      </c>
      <c r="V2" t="str">
        <f>IF(W2="","",W2&amp;" &lt;&lt;&lt;&gt;&gt;&gt; "&amp;X2)</f>
        <v>Abampere &lt;&lt;&lt;&gt;&gt;&gt; Ampere</v>
      </c>
      <c r="W2" t="s">
        <v>376</v>
      </c>
      <c r="X2" t="s">
        <v>377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263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376</v>
      </c>
      <c r="X3" t="s">
        <v>378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379</v>
      </c>
      <c r="V4" t="str">
        <f t="shared" si="0"/>
        <v>Abampere &lt;&lt;&lt;&gt;&gt;&gt; Statamperes</v>
      </c>
      <c r="W4" t="s">
        <v>376</v>
      </c>
      <c r="X4" t="s">
        <v>380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381</v>
      </c>
      <c r="V5" t="str">
        <f t="shared" si="0"/>
        <v>Abcoulomb &lt;&lt;&lt;&gt;&gt;&gt; Ampere - hours</v>
      </c>
      <c r="W5" t="s">
        <v>382</v>
      </c>
      <c r="X5" t="s">
        <v>383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382</v>
      </c>
      <c r="X6" t="s">
        <v>384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385</v>
      </c>
      <c r="T7" s="324"/>
      <c r="V7" t="str">
        <f t="shared" si="0"/>
        <v>Abcoulomb &lt;&lt;&lt;&gt;&gt;&gt; Electronic charges</v>
      </c>
      <c r="W7" t="s">
        <v>382</v>
      </c>
      <c r="X7" t="s">
        <v>386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246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375</v>
      </c>
      <c r="V8" t="str">
        <f t="shared" si="0"/>
        <v>Abcoulomb &lt;&lt;&lt;&gt;&gt;&gt; Faradays (chem)</v>
      </c>
      <c r="W8" t="s">
        <v>382</v>
      </c>
      <c r="X8" t="s">
        <v>387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382</v>
      </c>
      <c r="X9" t="s">
        <v>388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389</v>
      </c>
      <c r="X10" t="s">
        <v>390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391</v>
      </c>
      <c r="T11" s="324"/>
      <c r="V11" t="str">
        <f t="shared" si="0"/>
        <v>Abfarads &lt;&lt;&lt;&gt;&gt;&gt; Microfarads</v>
      </c>
      <c r="W11" t="s">
        <v>389</v>
      </c>
      <c r="X11" t="s">
        <v>392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375</v>
      </c>
      <c r="V12" t="str">
        <f t="shared" si="0"/>
        <v>Abfarads &lt;&lt;&lt;&gt;&gt;&gt; Statfarads</v>
      </c>
      <c r="W12" t="s">
        <v>389</v>
      </c>
      <c r="X12" t="s">
        <v>393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394</v>
      </c>
      <c r="X13" t="s">
        <v>395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231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401</v>
      </c>
      <c r="X14" t="s">
        <v>402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247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397</v>
      </c>
      <c r="T15" s="324"/>
      <c r="V15" t="str">
        <f t="shared" si="0"/>
        <v>Acres &lt;&lt;&lt;&gt;&gt;&gt; Hectare or Square hectometer </v>
      </c>
      <c r="W15" t="s">
        <v>404</v>
      </c>
      <c r="X15" t="s">
        <v>396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375</v>
      </c>
      <c r="V16" t="str">
        <f t="shared" si="0"/>
        <v>Acres &lt;&lt;&lt;&gt;&gt;&gt; Square Chain (Gunter's) </v>
      </c>
      <c r="W16" t="s">
        <v>404</v>
      </c>
      <c r="X16" t="s">
        <v>398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404</v>
      </c>
      <c r="X17" t="s">
        <v>405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229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404</v>
      </c>
      <c r="X18" t="s">
        <v>870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235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403</v>
      </c>
      <c r="T19" s="324"/>
      <c r="V19" t="str">
        <f t="shared" si="0"/>
        <v>Acres &lt;&lt;&lt;&gt;&gt;&gt; Square Kilometers</v>
      </c>
      <c r="W19" t="s">
        <v>404</v>
      </c>
      <c r="X19" t="s">
        <v>871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242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375</v>
      </c>
      <c r="V20" t="str">
        <f t="shared" si="0"/>
        <v>Acres &lt;&lt;&lt;&gt;&gt;&gt; Square Links (Gunter's) </v>
      </c>
      <c r="W20" t="s">
        <v>404</v>
      </c>
      <c r="X20" t="s">
        <v>399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248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404</v>
      </c>
      <c r="X21" t="s">
        <v>400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257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406</v>
      </c>
      <c r="X22" t="s">
        <v>407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238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406</v>
      </c>
      <c r="X23" t="s">
        <v>408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252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412</v>
      </c>
      <c r="T24" s="324"/>
      <c r="V24" t="str">
        <f t="shared" si="0"/>
        <v>Acres  &lt;&lt;&lt;&gt;&gt;&gt; Square Yards </v>
      </c>
      <c r="W24" t="s">
        <v>406</v>
      </c>
      <c r="X24" t="s">
        <v>409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21</v>
      </c>
      <c r="T25" t="s">
        <v>375</v>
      </c>
      <c r="V25" t="str">
        <f t="shared" si="0"/>
        <v>Ampere-hours  &lt;&lt;&lt;&gt;&gt;&gt; Coulombs </v>
      </c>
      <c r="W25" t="s">
        <v>410</v>
      </c>
      <c r="X25" t="s">
        <v>411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Acres </v>
      </c>
      <c r="T26" t="s">
        <v>94</v>
      </c>
      <c r="V26" t="str">
        <f t="shared" si="0"/>
        <v>Ampere-hours  &lt;&lt;&lt;&gt;&gt;&gt; Faradays </v>
      </c>
      <c r="W26" t="s">
        <v>410</v>
      </c>
      <c r="X26" t="s">
        <v>413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Square Meters </v>
      </c>
      <c r="T27" t="s">
        <v>95</v>
      </c>
      <c r="V27" t="str">
        <f t="shared" si="0"/>
        <v>Ampere-turns  &lt;&lt;&lt;&gt;&gt;&gt; Gilberts </v>
      </c>
      <c r="W27" t="s">
        <v>414</v>
      </c>
      <c r="X27" t="s">
        <v>415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4046.856421</v>
      </c>
      <c r="T28" t="s">
        <v>374</v>
      </c>
      <c r="V28" t="str">
        <f t="shared" si="0"/>
        <v>Atmospheres  &lt;&lt;&lt;&gt;&gt;&gt; Cms of Mercury </v>
      </c>
      <c r="W28" t="s">
        <v>416</v>
      </c>
      <c r="X28" t="s">
        <v>417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</c>
      <c r="T29" t="s">
        <v>420</v>
      </c>
      <c r="V29" t="str">
        <f t="shared" si="0"/>
        <v>Atmospheres  &lt;&lt;&lt;&gt;&gt;&gt; Ft. of water (at 4 degrees C)</v>
      </c>
      <c r="W29" t="s">
        <v>416</v>
      </c>
      <c r="X29" t="s">
        <v>418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422</v>
      </c>
      <c r="V30" t="str">
        <f t="shared" si="0"/>
        <v>Atmospheres  &lt;&lt;&lt;&gt;&gt;&gt; In. of Mercury (at 0 degrees C)</v>
      </c>
      <c r="W30" t="s">
        <v>416</v>
      </c>
      <c r="X30" t="s">
        <v>419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416</v>
      </c>
      <c r="X31" t="s">
        <v>421</v>
      </c>
      <c r="Y31">
        <v>1.0333</v>
      </c>
    </row>
    <row r="32" spans="1:25" ht="15">
      <c r="A32" s="338" t="s">
        <v>262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416</v>
      </c>
      <c r="X32" t="s">
        <v>423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416</v>
      </c>
      <c r="X33" t="s">
        <v>424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416</v>
      </c>
      <c r="X34" t="s">
        <v>425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416</v>
      </c>
      <c r="X35" t="s">
        <v>426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427</v>
      </c>
      <c r="X36" t="s">
        <v>428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429</v>
      </c>
      <c r="X37" t="s">
        <v>430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429</v>
      </c>
      <c r="X38" t="s">
        <v>431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432</v>
      </c>
      <c r="X39" t="s">
        <v>433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432</v>
      </c>
      <c r="X40" t="s">
        <v>434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435</v>
      </c>
      <c r="X41" t="s">
        <v>424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436</v>
      </c>
      <c r="X42" t="s">
        <v>416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436</v>
      </c>
      <c r="X43" t="s">
        <v>437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436</v>
      </c>
      <c r="X44" t="s">
        <v>423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436</v>
      </c>
      <c r="X45" t="s">
        <v>438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439</v>
      </c>
      <c r="X46" t="s">
        <v>440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227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439</v>
      </c>
      <c r="X47" t="s">
        <v>441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230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439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233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442</v>
      </c>
      <c r="X49" t="s">
        <v>443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236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442</v>
      </c>
      <c r="X50" t="s">
        <v>444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239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442</v>
      </c>
      <c r="X51" t="s">
        <v>445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241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442</v>
      </c>
      <c r="X52" t="s">
        <v>446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244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442</v>
      </c>
      <c r="X53" t="s">
        <v>447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249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442</v>
      </c>
      <c r="X54" t="s">
        <v>448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251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442</v>
      </c>
      <c r="X55" t="s">
        <v>449</v>
      </c>
      <c r="Y55">
        <v>107.5</v>
      </c>
    </row>
    <row r="56" spans="1:25" ht="15">
      <c r="A56" s="338" t="s">
        <v>263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254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442</v>
      </c>
      <c r="X56" t="s">
        <v>450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256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451</v>
      </c>
      <c r="X57" t="s">
        <v>452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259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451</v>
      </c>
      <c r="X58" t="s">
        <v>453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451</v>
      </c>
      <c r="X59" t="s">
        <v>446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451</v>
      </c>
      <c r="X60" t="s">
        <v>454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455</v>
      </c>
      <c r="X61" t="s">
        <v>456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455</v>
      </c>
      <c r="X62" t="s">
        <v>457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455</v>
      </c>
      <c r="X63" t="s">
        <v>458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455</v>
      </c>
      <c r="X64" t="s">
        <v>454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459</v>
      </c>
      <c r="X65" t="s">
        <v>460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461</v>
      </c>
      <c r="X66" t="s">
        <v>402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461</v>
      </c>
      <c r="X67" t="s">
        <v>462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461</v>
      </c>
      <c r="X68" t="s">
        <v>463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461</v>
      </c>
      <c r="X69" t="s">
        <v>464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461</v>
      </c>
      <c r="X70" t="s">
        <v>465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461</v>
      </c>
      <c r="X71" t="s">
        <v>466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461</v>
      </c>
      <c r="X72" t="s">
        <v>431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467</v>
      </c>
      <c r="X73" t="s">
        <v>468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467</v>
      </c>
      <c r="X74" t="s">
        <v>469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467</v>
      </c>
      <c r="X75" t="s">
        <v>470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467</v>
      </c>
      <c r="X76" t="s">
        <v>471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472</v>
      </c>
      <c r="X77" t="s">
        <v>473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474</v>
      </c>
      <c r="X78" t="s">
        <v>475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476</v>
      </c>
      <c r="X79" t="s">
        <v>475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477</v>
      </c>
      <c r="X80" t="s">
        <v>407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478</v>
      </c>
      <c r="X81" t="s">
        <v>479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480</v>
      </c>
      <c r="X82" t="s">
        <v>481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482</v>
      </c>
      <c r="X83" t="s">
        <v>464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483</v>
      </c>
      <c r="X84" t="s">
        <v>484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483</v>
      </c>
      <c r="X85" t="s">
        <v>485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228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232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234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237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240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243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486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245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250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487</v>
      </c>
      <c r="X94" t="s">
        <v>416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253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487</v>
      </c>
      <c r="X95" t="s">
        <v>488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255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487</v>
      </c>
      <c r="X96" t="s">
        <v>423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258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487</v>
      </c>
      <c r="X97" t="s">
        <v>438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487</v>
      </c>
      <c r="X98" t="s">
        <v>424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489</v>
      </c>
      <c r="X99" t="s">
        <v>490</v>
      </c>
      <c r="Y99">
        <v>0.3937008</v>
      </c>
    </row>
    <row r="100" spans="2:25" ht="15">
      <c r="B100" s="339">
        <v>0.0748</v>
      </c>
      <c r="D100" s="1">
        <v>1.9</v>
      </c>
      <c r="F100" s="324" t="s">
        <v>494</v>
      </c>
      <c r="G100" s="324"/>
      <c r="I100" s="324" t="s">
        <v>494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491</v>
      </c>
      <c r="X100" t="s">
        <v>492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258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491</v>
      </c>
      <c r="X101" t="s">
        <v>493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255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495</v>
      </c>
      <c r="X102" t="s">
        <v>496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253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495</v>
      </c>
      <c r="X103" t="s">
        <v>497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250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495</v>
      </c>
      <c r="X104" t="s">
        <v>498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245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495</v>
      </c>
      <c r="X105" t="s">
        <v>499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243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495</v>
      </c>
      <c r="X106" t="s">
        <v>500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240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495</v>
      </c>
      <c r="X107" t="s">
        <v>501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237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495</v>
      </c>
      <c r="X108" t="s">
        <v>502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234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503</v>
      </c>
      <c r="X109" t="s">
        <v>504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232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503</v>
      </c>
      <c r="X110" t="s">
        <v>505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228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503</v>
      </c>
      <c r="X111" t="s">
        <v>506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503</v>
      </c>
      <c r="X112" t="s">
        <v>507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508</v>
      </c>
      <c r="X113" t="s">
        <v>509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510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510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511</v>
      </c>
      <c r="X116" t="s">
        <v>512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511</v>
      </c>
      <c r="X117" t="s">
        <v>513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511</v>
      </c>
      <c r="X118" t="s">
        <v>514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515</v>
      </c>
      <c r="X119" t="s">
        <v>402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262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516</v>
      </c>
      <c r="X120" t="s">
        <v>517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516</v>
      </c>
      <c r="X121" t="s">
        <v>518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516</v>
      </c>
      <c r="X122" t="s">
        <v>462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516</v>
      </c>
      <c r="X123" t="s">
        <v>519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516</v>
      </c>
      <c r="X124" t="s">
        <v>520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516</v>
      </c>
      <c r="X125" t="s">
        <v>521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516</v>
      </c>
      <c r="X126" t="s">
        <v>522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516</v>
      </c>
      <c r="X127" t="s">
        <v>523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516</v>
      </c>
      <c r="X128" t="s">
        <v>524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516</v>
      </c>
      <c r="X129" t="s">
        <v>525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516</v>
      </c>
      <c r="X130" t="s">
        <v>526</v>
      </c>
      <c r="Y130">
        <v>0.001</v>
      </c>
    </row>
    <row r="131" spans="1:25" ht="15">
      <c r="A131" s="183" t="s">
        <v>246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516</v>
      </c>
      <c r="X131" t="s">
        <v>527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263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516</v>
      </c>
      <c r="X132" t="s">
        <v>528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402</v>
      </c>
      <c r="X133" t="s">
        <v>529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402</v>
      </c>
      <c r="X134" t="s">
        <v>530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402</v>
      </c>
      <c r="X135" t="s">
        <v>462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402</v>
      </c>
      <c r="X136" t="s">
        <v>463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402</v>
      </c>
      <c r="X137" t="s">
        <v>531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402</v>
      </c>
      <c r="X138" t="s">
        <v>532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402</v>
      </c>
      <c r="X139" t="s">
        <v>464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259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402</v>
      </c>
      <c r="X140" t="s">
        <v>533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256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402</v>
      </c>
      <c r="X141" t="s">
        <v>534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254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535</v>
      </c>
      <c r="X142" t="s">
        <v>536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251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535</v>
      </c>
      <c r="X143" t="s">
        <v>537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249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538</v>
      </c>
      <c r="X144" t="s">
        <v>539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244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538</v>
      </c>
      <c r="X145" t="s">
        <v>540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241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538</v>
      </c>
      <c r="X146" t="s">
        <v>541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239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538</v>
      </c>
      <c r="X147" t="s">
        <v>542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236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543</v>
      </c>
      <c r="X148" t="s">
        <v>544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233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543</v>
      </c>
      <c r="X149" t="s">
        <v>545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230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462</v>
      </c>
      <c r="X150" t="s">
        <v>546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227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462</v>
      </c>
      <c r="X151" t="s">
        <v>530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462</v>
      </c>
      <c r="X152" t="s">
        <v>402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462</v>
      </c>
      <c r="X153" t="s">
        <v>463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462</v>
      </c>
      <c r="X154" t="s">
        <v>547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462</v>
      </c>
      <c r="X155" t="s">
        <v>531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462</v>
      </c>
      <c r="X156" t="s">
        <v>434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462</v>
      </c>
      <c r="X157" t="s">
        <v>548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462</v>
      </c>
      <c r="X158" t="s">
        <v>533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462</v>
      </c>
      <c r="X159" t="s">
        <v>549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463</v>
      </c>
      <c r="X160" t="s">
        <v>529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463</v>
      </c>
      <c r="X161" t="s">
        <v>530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463</v>
      </c>
      <c r="X162" t="s">
        <v>402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463</v>
      </c>
      <c r="X163" t="s">
        <v>462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463</v>
      </c>
      <c r="X164" t="s">
        <v>531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463</v>
      </c>
      <c r="X165" t="s">
        <v>550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463</v>
      </c>
      <c r="X166" t="s">
        <v>532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463</v>
      </c>
      <c r="X167" t="s">
        <v>464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463</v>
      </c>
      <c r="X168" t="s">
        <v>533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246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463</v>
      </c>
      <c r="X169" t="s">
        <v>549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551</v>
      </c>
      <c r="X170" t="s">
        <v>552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551</v>
      </c>
      <c r="X171" t="s">
        <v>553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536</v>
      </c>
      <c r="X172" t="s">
        <v>535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536</v>
      </c>
      <c r="X173" t="s">
        <v>552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536</v>
      </c>
      <c r="X174" t="s">
        <v>553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531</v>
      </c>
      <c r="X175" t="s">
        <v>530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531</v>
      </c>
      <c r="X176" t="s">
        <v>402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531</v>
      </c>
      <c r="X177" t="s">
        <v>462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531</v>
      </c>
      <c r="X178" t="s">
        <v>463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257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531</v>
      </c>
      <c r="X179" t="s">
        <v>532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252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531</v>
      </c>
      <c r="X180" t="s">
        <v>464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248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531</v>
      </c>
      <c r="X181" t="s">
        <v>533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242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531</v>
      </c>
      <c r="X182" t="s">
        <v>549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238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554</v>
      </c>
      <c r="X183" t="s">
        <v>540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235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554</v>
      </c>
      <c r="X184" t="s">
        <v>541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229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555</v>
      </c>
      <c r="X185" t="s">
        <v>556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557</v>
      </c>
      <c r="X186" t="s">
        <v>464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558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559</v>
      </c>
      <c r="X188" t="s">
        <v>560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559</v>
      </c>
      <c r="X189" t="s">
        <v>561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562</v>
      </c>
      <c r="X190" t="s">
        <v>479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563</v>
      </c>
      <c r="X191" t="s">
        <v>464</v>
      </c>
      <c r="Y191">
        <v>10</v>
      </c>
    </row>
    <row r="192" spans="1:25" ht="15">
      <c r="A192" s="183" t="s">
        <v>231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564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565</v>
      </c>
      <c r="X193" t="s">
        <v>566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565</v>
      </c>
      <c r="X194" t="s">
        <v>479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565</v>
      </c>
      <c r="X195" t="s">
        <v>567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568</v>
      </c>
      <c r="X196" t="s">
        <v>569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568</v>
      </c>
      <c r="X197" t="s">
        <v>570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571</v>
      </c>
      <c r="X198" t="s">
        <v>572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573</v>
      </c>
      <c r="X199" t="s">
        <v>574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575</v>
      </c>
      <c r="X200" t="s">
        <v>576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575</v>
      </c>
      <c r="X201" t="s">
        <v>577</v>
      </c>
      <c r="Y201">
        <v>2.95E-05</v>
      </c>
    </row>
    <row r="202" spans="1:25" ht="15">
      <c r="A202" s="183" t="s">
        <v>247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580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575</v>
      </c>
      <c r="X202" t="s">
        <v>578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579</v>
      </c>
      <c r="X203" t="s">
        <v>416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231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579</v>
      </c>
      <c r="X204" t="s">
        <v>581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579</v>
      </c>
      <c r="X205" t="s">
        <v>582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583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261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583</v>
      </c>
      <c r="X207" t="s">
        <v>584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583</v>
      </c>
      <c r="X208" t="s">
        <v>585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247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583</v>
      </c>
      <c r="X209" t="s">
        <v>82</v>
      </c>
      <c r="Y209">
        <v>1.02E-06</v>
      </c>
    </row>
    <row r="210" spans="2:25" ht="15">
      <c r="B210" s="339">
        <v>0.234</v>
      </c>
      <c r="C210" s="340" t="s">
        <v>261</v>
      </c>
      <c r="F210" s="330">
        <v>0.221</v>
      </c>
      <c r="G210" s="331">
        <v>2</v>
      </c>
      <c r="I210" s="330">
        <v>0.2188</v>
      </c>
      <c r="J210" s="331" t="s">
        <v>247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583</v>
      </c>
      <c r="X210" t="s">
        <v>586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583</v>
      </c>
      <c r="X211" t="s">
        <v>587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261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583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588</v>
      </c>
      <c r="X213" t="s">
        <v>479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588</v>
      </c>
      <c r="X214" t="s">
        <v>589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231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588</v>
      </c>
      <c r="X215" t="s">
        <v>590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588</v>
      </c>
      <c r="X216" t="s">
        <v>591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580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592</v>
      </c>
      <c r="X217" t="s">
        <v>435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593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593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594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594</v>
      </c>
      <c r="X221" t="s">
        <v>595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443</v>
      </c>
      <c r="X222" t="s">
        <v>442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443</v>
      </c>
      <c r="X223" t="s">
        <v>446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443</v>
      </c>
      <c r="X224" t="s">
        <v>447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443</v>
      </c>
      <c r="X225" t="s">
        <v>450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443</v>
      </c>
      <c r="X226" t="s">
        <v>596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597</v>
      </c>
      <c r="X227" t="s">
        <v>455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597</v>
      </c>
      <c r="X228" t="s">
        <v>457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597</v>
      </c>
      <c r="X229" t="s">
        <v>458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598</v>
      </c>
      <c r="X230" t="s">
        <v>599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413</v>
      </c>
      <c r="X231" t="s">
        <v>410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413</v>
      </c>
      <c r="X232" t="s">
        <v>411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600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229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600</v>
      </c>
      <c r="X234" t="s">
        <v>601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235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238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242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248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602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252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603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257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486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488</v>
      </c>
      <c r="X242" t="s">
        <v>416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488</v>
      </c>
      <c r="X243" t="s">
        <v>604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488</v>
      </c>
      <c r="X244" t="s">
        <v>421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488</v>
      </c>
      <c r="X245" t="s">
        <v>423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488</v>
      </c>
      <c r="X246" t="s">
        <v>438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488</v>
      </c>
      <c r="X247" t="s">
        <v>424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605</v>
      </c>
      <c r="X248" t="s">
        <v>606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605</v>
      </c>
      <c r="X249" t="s">
        <v>607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246</v>
      </c>
      <c r="V250" t="str">
        <f t="shared" si="3"/>
        <v>Feet per Hour &lt;&lt;&lt;&gt;&gt;&gt; Meters per Second</v>
      </c>
      <c r="W250" t="s">
        <v>605</v>
      </c>
      <c r="X250" t="s">
        <v>608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492</v>
      </c>
      <c r="X251" t="s">
        <v>491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492</v>
      </c>
      <c r="X252" t="s">
        <v>606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492</v>
      </c>
      <c r="X253" t="s">
        <v>607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492</v>
      </c>
      <c r="X254" t="s">
        <v>608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493</v>
      </c>
      <c r="X255" t="s">
        <v>491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493</v>
      </c>
      <c r="X256" t="s">
        <v>607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493</v>
      </c>
      <c r="X257" t="s">
        <v>608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496</v>
      </c>
      <c r="X258" t="s">
        <v>495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496</v>
      </c>
      <c r="X259" t="s">
        <v>497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496</v>
      </c>
      <c r="X260" t="s">
        <v>609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496</v>
      </c>
      <c r="X261" t="s">
        <v>500</v>
      </c>
      <c r="Y261">
        <v>0.3048</v>
      </c>
    </row>
    <row r="262" spans="2:25" ht="15">
      <c r="B262" s="339">
        <v>0.332</v>
      </c>
      <c r="C262" s="340" t="s">
        <v>229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496</v>
      </c>
      <c r="X262" t="s">
        <v>501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497</v>
      </c>
      <c r="X263" t="s">
        <v>495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497</v>
      </c>
      <c r="X264" t="s">
        <v>498</v>
      </c>
      <c r="Y264">
        <v>1.097</v>
      </c>
    </row>
    <row r="265" spans="2:25" ht="15">
      <c r="B265" s="339">
        <v>0.339</v>
      </c>
      <c r="C265" s="340" t="s">
        <v>235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497</v>
      </c>
      <c r="X265" t="s">
        <v>499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497</v>
      </c>
      <c r="X266" t="s">
        <v>500</v>
      </c>
      <c r="Y266">
        <v>18.29</v>
      </c>
    </row>
    <row r="267" spans="1:25" ht="15">
      <c r="A267" s="183" t="s">
        <v>238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497</v>
      </c>
      <c r="X267" t="s">
        <v>501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227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497</v>
      </c>
      <c r="X268" t="s">
        <v>502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230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504</v>
      </c>
      <c r="X269" t="s">
        <v>503</v>
      </c>
      <c r="Y269">
        <v>30.48</v>
      </c>
    </row>
    <row r="270" spans="2:25" ht="15">
      <c r="B270" s="339">
        <v>0.34800000000000003</v>
      </c>
      <c r="C270" s="340" t="s">
        <v>242</v>
      </c>
      <c r="F270" s="330">
        <v>0.75</v>
      </c>
      <c r="G270" s="331" t="s">
        <v>233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504</v>
      </c>
      <c r="X270" t="s">
        <v>505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236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504</v>
      </c>
      <c r="X271" t="s">
        <v>610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239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504</v>
      </c>
      <c r="X272" t="s">
        <v>507</v>
      </c>
      <c r="Y272">
        <v>0.6818</v>
      </c>
    </row>
    <row r="273" spans="2:25" ht="15">
      <c r="B273" s="339">
        <v>0.358</v>
      </c>
      <c r="C273" s="340" t="s">
        <v>248</v>
      </c>
      <c r="F273" s="330">
        <v>0.7969</v>
      </c>
      <c r="G273" s="331" t="s">
        <v>241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611</v>
      </c>
      <c r="X273" t="s">
        <v>612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244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611</v>
      </c>
      <c r="X274" t="s">
        <v>613</v>
      </c>
      <c r="Y274">
        <v>10.764</v>
      </c>
    </row>
    <row r="275" spans="1:25" ht="15">
      <c r="A275" s="183" t="s">
        <v>252</v>
      </c>
      <c r="B275" s="339">
        <v>0.3594</v>
      </c>
      <c r="F275" s="330">
        <v>0.8281</v>
      </c>
      <c r="G275" s="331" t="s">
        <v>249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614</v>
      </c>
      <c r="X275" t="s">
        <v>442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251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614</v>
      </c>
      <c r="X276" t="s">
        <v>443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254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614</v>
      </c>
      <c r="X277" t="s">
        <v>445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256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614</v>
      </c>
      <c r="X278" t="s">
        <v>615</v>
      </c>
      <c r="Y278">
        <v>5.05E-07</v>
      </c>
    </row>
    <row r="279" spans="2:25" ht="15">
      <c r="B279" s="339">
        <v>0.368</v>
      </c>
      <c r="C279" s="340" t="s">
        <v>257</v>
      </c>
      <c r="F279" s="330">
        <v>0.8906</v>
      </c>
      <c r="G279" s="331" t="s">
        <v>259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614</v>
      </c>
      <c r="X279" t="s">
        <v>447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614</v>
      </c>
      <c r="X280" t="s">
        <v>448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614</v>
      </c>
      <c r="X281" t="s">
        <v>450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616</v>
      </c>
      <c r="X282" t="s">
        <v>455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616</v>
      </c>
      <c r="X283" t="s">
        <v>452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616</v>
      </c>
      <c r="X284" t="s">
        <v>457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616</v>
      </c>
      <c r="X285" t="s">
        <v>458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452</v>
      </c>
      <c r="X286" t="s">
        <v>451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263</v>
      </c>
      <c r="V287" t="str">
        <f t="shared" si="4"/>
        <v>Foot-pounds/Second  &lt;&lt;&lt;&gt;&gt;&gt; BTU/Minute </v>
      </c>
      <c r="W287" t="s">
        <v>452</v>
      </c>
      <c r="X287" t="s">
        <v>455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452</v>
      </c>
      <c r="X288" t="s">
        <v>457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452</v>
      </c>
      <c r="X289" t="s">
        <v>458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617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617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617</v>
      </c>
      <c r="X292" t="s">
        <v>618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550</v>
      </c>
      <c r="X293" t="s">
        <v>463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550</v>
      </c>
      <c r="X294" t="s">
        <v>464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619</v>
      </c>
      <c r="X295" t="s">
        <v>463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619</v>
      </c>
      <c r="X296" t="s">
        <v>464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620</v>
      </c>
      <c r="X297" t="s">
        <v>532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552</v>
      </c>
      <c r="X298" t="s">
        <v>551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262</v>
      </c>
      <c r="V299" t="str">
        <f t="shared" si="4"/>
        <v>Gallons (U.K. liquid) per Minute &lt;&lt;&lt;&gt;&gt;&gt; Cubic Meters per Second</v>
      </c>
      <c r="W299" t="s">
        <v>552</v>
      </c>
      <c r="X299" t="s">
        <v>536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553</v>
      </c>
      <c r="X300" t="s">
        <v>551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553</v>
      </c>
      <c r="X301" t="s">
        <v>536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553</v>
      </c>
      <c r="X302" t="s">
        <v>537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553</v>
      </c>
      <c r="X303" t="s">
        <v>621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622</v>
      </c>
      <c r="X304" t="s">
        <v>623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544</v>
      </c>
      <c r="X305" t="s">
        <v>624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544</v>
      </c>
      <c r="X306" t="s">
        <v>543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544</v>
      </c>
      <c r="X307" t="s">
        <v>541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228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415</v>
      </c>
      <c r="X308" t="s">
        <v>414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232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625</v>
      </c>
      <c r="X309" t="s">
        <v>626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234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625</v>
      </c>
      <c r="X310" t="s">
        <v>627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237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625</v>
      </c>
      <c r="X311" t="s">
        <v>628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240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629</v>
      </c>
      <c r="X312" t="s">
        <v>464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243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629</v>
      </c>
      <c r="X313" t="s">
        <v>630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245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631</v>
      </c>
      <c r="X314" t="s">
        <v>632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250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633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253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634</v>
      </c>
      <c r="X316" t="s">
        <v>635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255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634</v>
      </c>
      <c r="X317" t="s">
        <v>479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258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634</v>
      </c>
      <c r="X318" t="s">
        <v>636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634</v>
      </c>
      <c r="X319" t="s">
        <v>637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583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638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639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640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641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479</v>
      </c>
      <c r="X325" t="s">
        <v>642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479</v>
      </c>
      <c r="X326" t="s">
        <v>643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479</v>
      </c>
      <c r="X327" t="s">
        <v>588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479</v>
      </c>
      <c r="X328" t="s">
        <v>566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479</v>
      </c>
      <c r="X329" t="s">
        <v>644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479</v>
      </c>
      <c r="X330" t="s">
        <v>645</v>
      </c>
      <c r="Y330">
        <v>0.00981</v>
      </c>
    </row>
    <row r="331" spans="1:25" ht="15">
      <c r="A331" s="183" t="s">
        <v>227</v>
      </c>
      <c r="B331" s="339">
        <v>0.7188</v>
      </c>
      <c r="V331" t="str">
        <f t="shared" si="5"/>
        <v>Grams  &lt;&lt;&lt;&gt;&gt;&gt; Kilograms </v>
      </c>
      <c r="W331" t="s">
        <v>479</v>
      </c>
      <c r="X331" t="s">
        <v>589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479</v>
      </c>
      <c r="X332" t="s">
        <v>646</v>
      </c>
      <c r="Y332">
        <v>1000</v>
      </c>
    </row>
    <row r="333" spans="1:25" ht="15">
      <c r="A333" s="183" t="s">
        <v>230</v>
      </c>
      <c r="B333" s="339">
        <v>0.7344</v>
      </c>
      <c r="V333" t="str">
        <f t="shared" si="5"/>
        <v>Grams  &lt;&lt;&lt;&gt;&gt;&gt; Ounces (troy) </v>
      </c>
      <c r="W333" t="s">
        <v>479</v>
      </c>
      <c r="X333" t="s">
        <v>569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479</v>
      </c>
      <c r="X334" t="s">
        <v>647</v>
      </c>
      <c r="Y334">
        <v>0.035273962</v>
      </c>
    </row>
    <row r="335" spans="1:25" ht="15">
      <c r="A335" s="183" t="s">
        <v>233</v>
      </c>
      <c r="B335" s="339">
        <v>0.75</v>
      </c>
      <c r="V335" t="str">
        <f t="shared" si="5"/>
        <v>Grams  &lt;&lt;&lt;&gt;&gt;&gt; Poundals </v>
      </c>
      <c r="W335" t="s">
        <v>479</v>
      </c>
      <c r="X335" t="s">
        <v>590</v>
      </c>
      <c r="Y335">
        <v>0.07093</v>
      </c>
    </row>
    <row r="336" spans="1:25" ht="15">
      <c r="A336" s="183" t="s">
        <v>236</v>
      </c>
      <c r="B336" s="339">
        <v>0.7656</v>
      </c>
      <c r="V336" t="str">
        <f t="shared" si="5"/>
        <v>Grams  &lt;&lt;&lt;&gt;&gt;&gt; Pounds </v>
      </c>
      <c r="W336" t="s">
        <v>479</v>
      </c>
      <c r="X336" t="s">
        <v>591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648</v>
      </c>
      <c r="X337" t="s">
        <v>649</v>
      </c>
      <c r="Y337">
        <v>0.0361273</v>
      </c>
    </row>
    <row r="338" spans="1:25" ht="15">
      <c r="A338" s="183" t="s">
        <v>239</v>
      </c>
      <c r="B338" s="339">
        <v>0.7812</v>
      </c>
      <c r="V338" t="str">
        <f t="shared" si="5"/>
        <v>Grams/cm  &lt;&lt;&lt;&gt;&gt;&gt; Pounds/Inch </v>
      </c>
      <c r="W338" t="s">
        <v>650</v>
      </c>
      <c r="X338" t="s">
        <v>651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652</v>
      </c>
      <c r="X339" t="s">
        <v>653</v>
      </c>
      <c r="Y339">
        <v>62.43</v>
      </c>
    </row>
    <row r="340" spans="1:25" ht="15">
      <c r="A340" s="183" t="s">
        <v>241</v>
      </c>
      <c r="B340" s="339">
        <v>0.7969</v>
      </c>
      <c r="V340" t="str">
        <f t="shared" si="5"/>
        <v>Grams/cu. cm  &lt;&lt;&lt;&gt;&gt;&gt; Pounds/cu. Inch </v>
      </c>
      <c r="W340" t="s">
        <v>652</v>
      </c>
      <c r="X340" t="s">
        <v>654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655</v>
      </c>
      <c r="X341" t="s">
        <v>60</v>
      </c>
      <c r="Y341">
        <v>10.16</v>
      </c>
    </row>
    <row r="342" spans="1:25" ht="15">
      <c r="A342" s="183" t="s">
        <v>244</v>
      </c>
      <c r="B342" s="339">
        <v>0.8125</v>
      </c>
      <c r="V342" t="str">
        <f t="shared" si="5"/>
        <v>Hectares  &lt;&lt;&lt;&gt;&gt;&gt; Acres </v>
      </c>
      <c r="W342" t="s">
        <v>656</v>
      </c>
      <c r="X342" t="s">
        <v>406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656</v>
      </c>
      <c r="X343" t="s">
        <v>405</v>
      </c>
      <c r="Y343">
        <v>107600</v>
      </c>
    </row>
    <row r="344" spans="1:25" ht="15">
      <c r="A344" s="183" t="s">
        <v>249</v>
      </c>
      <c r="B344" s="339">
        <v>0.8281</v>
      </c>
      <c r="V344" t="str">
        <f t="shared" si="5"/>
        <v>Hectograms  &lt;&lt;&lt;&gt;&gt;&gt; Grams </v>
      </c>
      <c r="W344" t="s">
        <v>657</v>
      </c>
      <c r="X344" t="s">
        <v>479</v>
      </c>
      <c r="Y344">
        <v>100</v>
      </c>
    </row>
    <row r="345" spans="1:25" ht="15">
      <c r="A345" s="183" t="s">
        <v>251</v>
      </c>
      <c r="B345" s="339">
        <v>0.8438</v>
      </c>
      <c r="V345" t="str">
        <f t="shared" si="5"/>
        <v>Hectoliters  &lt;&lt;&lt;&gt;&gt;&gt; Liters </v>
      </c>
      <c r="W345" t="s">
        <v>658</v>
      </c>
      <c r="X345" t="s">
        <v>464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659</v>
      </c>
      <c r="X346" t="s">
        <v>64</v>
      </c>
      <c r="Y346">
        <v>100</v>
      </c>
    </row>
    <row r="347" spans="1:25" ht="15">
      <c r="A347" s="183" t="s">
        <v>254</v>
      </c>
      <c r="B347" s="339">
        <v>0.8594</v>
      </c>
      <c r="V347" t="str">
        <f t="shared" si="5"/>
        <v>hectowatts  &lt;&lt;&lt;&gt;&gt;&gt; Watts </v>
      </c>
      <c r="W347" t="s">
        <v>660</v>
      </c>
      <c r="X347" t="s">
        <v>454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661</v>
      </c>
      <c r="X348" t="s">
        <v>402</v>
      </c>
      <c r="Y348">
        <v>10.114</v>
      </c>
    </row>
    <row r="349" spans="1:25" ht="15">
      <c r="A349" s="183" t="s">
        <v>256</v>
      </c>
      <c r="B349" s="339">
        <v>0.875</v>
      </c>
      <c r="V349" t="str">
        <f t="shared" si="5"/>
        <v>Hogsheads (U.S.)  &lt;&lt;&lt;&gt;&gt;&gt; Cubic Feet </v>
      </c>
      <c r="W349" t="s">
        <v>662</v>
      </c>
      <c r="X349" t="s">
        <v>402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662</v>
      </c>
      <c r="X350" t="s">
        <v>663</v>
      </c>
      <c r="Y350">
        <v>63</v>
      </c>
    </row>
    <row r="351" spans="1:25" ht="15">
      <c r="A351" s="183" t="s">
        <v>259</v>
      </c>
      <c r="B351" s="339">
        <v>0.8906</v>
      </c>
      <c r="V351" t="str">
        <f t="shared" si="5"/>
        <v>HorsePower  &lt;&lt;&lt;&gt;&gt;&gt; BTU/Minute </v>
      </c>
      <c r="W351" t="s">
        <v>457</v>
      </c>
      <c r="X351" t="s">
        <v>455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457</v>
      </c>
      <c r="X352" t="s">
        <v>664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457</v>
      </c>
      <c r="X353" t="s">
        <v>456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457</v>
      </c>
      <c r="X354" t="s">
        <v>665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457</v>
      </c>
      <c r="X355" t="s">
        <v>458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457</v>
      </c>
      <c r="X356" t="s">
        <v>454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666</v>
      </c>
      <c r="X357" t="s">
        <v>451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666</v>
      </c>
      <c r="X358" t="s">
        <v>458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667</v>
      </c>
      <c r="X359" t="s">
        <v>457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446</v>
      </c>
      <c r="X360" t="s">
        <v>442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446</v>
      </c>
      <c r="X361" t="s">
        <v>443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446</v>
      </c>
      <c r="X362" t="s">
        <v>444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446</v>
      </c>
      <c r="X363" t="s">
        <v>445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446</v>
      </c>
      <c r="X364" t="s">
        <v>447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446</v>
      </c>
      <c r="X365" t="s">
        <v>448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446</v>
      </c>
      <c r="X366" t="s">
        <v>449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446</v>
      </c>
      <c r="X367" t="s">
        <v>450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668</v>
      </c>
      <c r="X368" t="s">
        <v>669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668</v>
      </c>
      <c r="X369" t="s">
        <v>670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671</v>
      </c>
      <c r="X370" t="s">
        <v>639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672</v>
      </c>
      <c r="X371" t="s">
        <v>673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674</v>
      </c>
      <c r="X372" t="s">
        <v>591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674</v>
      </c>
      <c r="X373" t="s">
        <v>675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676</v>
      </c>
      <c r="X374" t="s">
        <v>636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676</v>
      </c>
      <c r="X375" t="s">
        <v>591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676</v>
      </c>
      <c r="X376" t="s">
        <v>675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676</v>
      </c>
      <c r="X377" t="s">
        <v>677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486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678</v>
      </c>
      <c r="X385" t="s">
        <v>416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678</v>
      </c>
      <c r="X386" t="s">
        <v>488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678</v>
      </c>
      <c r="X387" t="s">
        <v>421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678</v>
      </c>
      <c r="X388" t="s">
        <v>423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678</v>
      </c>
      <c r="X389" t="s">
        <v>679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678</v>
      </c>
      <c r="X390" t="s">
        <v>680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681</v>
      </c>
      <c r="X391" t="s">
        <v>416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681</v>
      </c>
      <c r="X392" t="s">
        <v>678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681</v>
      </c>
      <c r="X393" t="s">
        <v>421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681</v>
      </c>
      <c r="X394" t="s">
        <v>682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681</v>
      </c>
      <c r="X395" t="s">
        <v>438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681</v>
      </c>
      <c r="X396" t="s">
        <v>424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490</v>
      </c>
      <c r="X397" t="s">
        <v>489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490</v>
      </c>
      <c r="X398" t="s">
        <v>607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490</v>
      </c>
      <c r="X399" t="s">
        <v>683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684</v>
      </c>
      <c r="X400" t="s">
        <v>599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685</v>
      </c>
      <c r="X401" t="s">
        <v>447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685</v>
      </c>
      <c r="X402" t="s">
        <v>686</v>
      </c>
      <c r="Y402">
        <v>1.59E-19</v>
      </c>
    </row>
    <row r="403" spans="1:25" ht="15">
      <c r="A403" s="183" t="s">
        <v>228</v>
      </c>
      <c r="B403" s="339">
        <v>1.3438</v>
      </c>
      <c r="V403" t="str">
        <f t="shared" si="6"/>
        <v>Joules  &lt;&lt;&lt;&gt;&gt;&gt; BTU </v>
      </c>
      <c r="W403" t="s">
        <v>447</v>
      </c>
      <c r="X403" t="s">
        <v>442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447</v>
      </c>
      <c r="X404" t="s">
        <v>443</v>
      </c>
      <c r="Y404">
        <v>10000000</v>
      </c>
    </row>
    <row r="405" spans="1:25" ht="15">
      <c r="A405" s="183" t="s">
        <v>232</v>
      </c>
      <c r="B405" s="339">
        <v>1.3594</v>
      </c>
      <c r="V405" t="str">
        <f t="shared" si="6"/>
        <v>Joules  &lt;&lt;&lt;&gt;&gt;&gt; Foot-pounds </v>
      </c>
      <c r="W405" t="s">
        <v>447</v>
      </c>
      <c r="X405" t="s">
        <v>614</v>
      </c>
      <c r="Y405">
        <v>0.7376</v>
      </c>
    </row>
    <row r="406" spans="1:25" ht="15">
      <c r="A406" s="183" t="s">
        <v>234</v>
      </c>
      <c r="B406" s="339">
        <v>1.375</v>
      </c>
      <c r="V406" t="str">
        <f t="shared" si="6"/>
        <v>Joules  &lt;&lt;&lt;&gt;&gt;&gt; Kilogram-Calories </v>
      </c>
      <c r="W406" t="s">
        <v>447</v>
      </c>
      <c r="X406" t="s">
        <v>448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447</v>
      </c>
      <c r="X407" t="s">
        <v>449</v>
      </c>
      <c r="Y407">
        <v>0.102</v>
      </c>
    </row>
    <row r="408" spans="1:25" ht="15">
      <c r="A408" s="183" t="s">
        <v>237</v>
      </c>
      <c r="B408" s="339">
        <v>1.3906</v>
      </c>
      <c r="V408" t="str">
        <f t="shared" si="6"/>
        <v>Joules  &lt;&lt;&lt;&gt;&gt;&gt; Poundals </v>
      </c>
      <c r="W408" t="s">
        <v>447</v>
      </c>
      <c r="X408" t="s">
        <v>590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447</v>
      </c>
      <c r="X409" t="s">
        <v>591</v>
      </c>
      <c r="Y409">
        <v>22.48</v>
      </c>
    </row>
    <row r="410" spans="1:25" ht="15">
      <c r="A410" s="183" t="s">
        <v>240</v>
      </c>
      <c r="B410" s="339">
        <v>1.4062</v>
      </c>
      <c r="V410" t="str">
        <f t="shared" si="6"/>
        <v>Joules  &lt;&lt;&lt;&gt;&gt;&gt; Watt-Hours </v>
      </c>
      <c r="W410" t="s">
        <v>447</v>
      </c>
      <c r="X410" t="s">
        <v>596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584</v>
      </c>
      <c r="X411" t="s">
        <v>583</v>
      </c>
      <c r="Y411">
        <v>10000000</v>
      </c>
    </row>
    <row r="412" spans="1:25" ht="15">
      <c r="A412" s="183" t="s">
        <v>243</v>
      </c>
      <c r="B412" s="339">
        <v>1.4219</v>
      </c>
      <c r="V412" t="str">
        <f t="shared" si="6"/>
        <v>Joules/Centimeters  &lt;&lt;&lt;&gt;&gt;&gt; dynes </v>
      </c>
      <c r="W412" t="s">
        <v>687</v>
      </c>
      <c r="X412" t="s">
        <v>688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687</v>
      </c>
      <c r="X413" t="s">
        <v>479</v>
      </c>
      <c r="Y413">
        <v>10200</v>
      </c>
    </row>
    <row r="414" spans="1:25" ht="15">
      <c r="A414" s="183" t="s">
        <v>245</v>
      </c>
      <c r="B414" s="339">
        <v>1.4375</v>
      </c>
      <c r="V414" t="str">
        <f t="shared" si="6"/>
        <v>Joules/Centimeters  &lt;&lt;&lt;&gt;&gt;&gt; Joules/Meter (newton) </v>
      </c>
      <c r="W414" t="s">
        <v>687</v>
      </c>
      <c r="X414" t="s">
        <v>689</v>
      </c>
      <c r="Y414">
        <v>100</v>
      </c>
    </row>
    <row r="415" spans="1:25" ht="15">
      <c r="A415" s="183" t="s">
        <v>250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583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690</v>
      </c>
      <c r="Y416">
        <v>1000</v>
      </c>
    </row>
    <row r="417" spans="1:25" ht="15">
      <c r="A417" s="183" t="s">
        <v>253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671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672</v>
      </c>
      <c r="Y418">
        <v>0.02204622</v>
      </c>
    </row>
    <row r="419" spans="1:25" ht="15">
      <c r="A419" s="183" t="s">
        <v>255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640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641</v>
      </c>
      <c r="Y420">
        <v>32.15074</v>
      </c>
    </row>
    <row r="421" spans="1:25" ht="15">
      <c r="A421" s="183" t="s">
        <v>258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691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692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693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694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695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696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589</v>
      </c>
      <c r="X427" t="s">
        <v>588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589</v>
      </c>
      <c r="X428" t="s">
        <v>479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589</v>
      </c>
      <c r="X429" t="s">
        <v>697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589</v>
      </c>
      <c r="X430" t="s">
        <v>698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589</v>
      </c>
      <c r="X431" t="s">
        <v>590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589</v>
      </c>
      <c r="X432" t="s">
        <v>591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589</v>
      </c>
      <c r="X433" t="s">
        <v>675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589</v>
      </c>
      <c r="X434" t="s">
        <v>699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700</v>
      </c>
      <c r="X435" t="s">
        <v>701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700</v>
      </c>
      <c r="X436" t="s">
        <v>702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700</v>
      </c>
      <c r="X437" t="s">
        <v>703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704</v>
      </c>
      <c r="X438" t="s">
        <v>705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704</v>
      </c>
      <c r="X439" t="s">
        <v>706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704</v>
      </c>
      <c r="X440" t="s">
        <v>707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704</v>
      </c>
      <c r="X441" t="s">
        <v>708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704</v>
      </c>
      <c r="X442" t="s">
        <v>709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704</v>
      </c>
      <c r="X443" t="s">
        <v>710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711</v>
      </c>
      <c r="X444" t="s">
        <v>712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713</v>
      </c>
      <c r="X445" t="s">
        <v>583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714</v>
      </c>
      <c r="X446" t="s">
        <v>709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714</v>
      </c>
      <c r="X447" t="s">
        <v>710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715</v>
      </c>
      <c r="X448" t="s">
        <v>716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717</v>
      </c>
      <c r="X449" t="s">
        <v>586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718</v>
      </c>
      <c r="X450" t="s">
        <v>464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719</v>
      </c>
      <c r="X451" t="s">
        <v>720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719</v>
      </c>
      <c r="X452" t="s">
        <v>721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719</v>
      </c>
      <c r="X453" t="s">
        <v>722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719</v>
      </c>
      <c r="X454" t="s">
        <v>723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719</v>
      </c>
      <c r="X455" t="s">
        <v>724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719</v>
      </c>
      <c r="X456" t="s">
        <v>725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719</v>
      </c>
      <c r="X457" t="s">
        <v>726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719</v>
      </c>
      <c r="X458" t="s">
        <v>727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719</v>
      </c>
      <c r="X459" t="s">
        <v>728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729</v>
      </c>
      <c r="X460" t="s">
        <v>730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498</v>
      </c>
      <c r="X461" t="s">
        <v>495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498</v>
      </c>
      <c r="X462" t="s">
        <v>496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498</v>
      </c>
      <c r="X463" t="s">
        <v>497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498</v>
      </c>
      <c r="X464" t="s">
        <v>499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498</v>
      </c>
      <c r="X465" t="s">
        <v>500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498</v>
      </c>
      <c r="X466" t="s">
        <v>501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505</v>
      </c>
      <c r="X467" t="s">
        <v>731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505</v>
      </c>
      <c r="X468" t="s">
        <v>504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505</v>
      </c>
      <c r="X469" t="s">
        <v>506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505</v>
      </c>
      <c r="X470" t="s">
        <v>507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732</v>
      </c>
      <c r="X471" t="s">
        <v>586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450</v>
      </c>
      <c r="X472" t="s">
        <v>442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450</v>
      </c>
      <c r="X473" t="s">
        <v>443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450</v>
      </c>
      <c r="X474" t="s">
        <v>444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450</v>
      </c>
      <c r="X475" t="s">
        <v>445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450</v>
      </c>
      <c r="X476" t="s">
        <v>446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450</v>
      </c>
      <c r="X477" t="s">
        <v>447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450</v>
      </c>
      <c r="X478" t="s">
        <v>448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450</v>
      </c>
      <c r="X479" t="s">
        <v>449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450</v>
      </c>
      <c r="X480" t="s">
        <v>733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450</v>
      </c>
      <c r="X481" t="s">
        <v>734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458</v>
      </c>
      <c r="X482" t="s">
        <v>455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458</v>
      </c>
      <c r="X483" t="s">
        <v>664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458</v>
      </c>
      <c r="X484" t="s">
        <v>456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458</v>
      </c>
      <c r="X485" t="s">
        <v>457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458</v>
      </c>
      <c r="X486" t="s">
        <v>665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458</v>
      </c>
      <c r="X487" t="s">
        <v>454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499</v>
      </c>
      <c r="X488" t="s">
        <v>735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499</v>
      </c>
      <c r="X489" t="s">
        <v>497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499</v>
      </c>
      <c r="X490" t="s">
        <v>498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499</v>
      </c>
      <c r="X491" t="s">
        <v>736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499</v>
      </c>
      <c r="X492" t="s">
        <v>737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499</v>
      </c>
      <c r="X493" t="s">
        <v>738</v>
      </c>
      <c r="Y493">
        <v>2027</v>
      </c>
    </row>
    <row r="494" spans="22:25" ht="15">
      <c r="V494" t="str">
        <f t="shared" si="7"/>
        <v>League &lt;&lt;&lt;&gt;&gt;&gt; Miles</v>
      </c>
      <c r="W494" t="s">
        <v>739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740</v>
      </c>
      <c r="X495" t="s">
        <v>719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740</v>
      </c>
      <c r="X496" t="s">
        <v>741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742</v>
      </c>
      <c r="X497" t="s">
        <v>723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743</v>
      </c>
      <c r="X498" t="s">
        <v>723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464</v>
      </c>
      <c r="X499" t="s">
        <v>744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464</v>
      </c>
      <c r="X500" t="s">
        <v>632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464</v>
      </c>
      <c r="X501" t="s">
        <v>402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464</v>
      </c>
      <c r="X502" t="s">
        <v>462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464</v>
      </c>
      <c r="X503" t="s">
        <v>463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464</v>
      </c>
      <c r="X504" t="s">
        <v>531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464</v>
      </c>
      <c r="X505" t="s">
        <v>550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464</v>
      </c>
      <c r="X506" t="s">
        <v>745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464</v>
      </c>
      <c r="X507" t="s">
        <v>746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464</v>
      </c>
      <c r="X508" t="s">
        <v>747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537</v>
      </c>
      <c r="X509" t="s">
        <v>535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537</v>
      </c>
      <c r="X510" t="s">
        <v>748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621</v>
      </c>
      <c r="X511" t="s">
        <v>748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749</v>
      </c>
      <c r="X512" t="s">
        <v>543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749</v>
      </c>
      <c r="X513" t="s">
        <v>540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750</v>
      </c>
      <c r="X514" t="s">
        <v>751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750</v>
      </c>
      <c r="X515" t="s">
        <v>752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753</v>
      </c>
      <c r="X516" t="s">
        <v>754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753</v>
      </c>
      <c r="X517" t="s">
        <v>755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756</v>
      </c>
      <c r="X518" t="s">
        <v>754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756</v>
      </c>
      <c r="X519" t="s">
        <v>613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757</v>
      </c>
      <c r="X520" t="s">
        <v>754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758</v>
      </c>
      <c r="X521" t="s">
        <v>759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758</v>
      </c>
      <c r="X522" t="s">
        <v>760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725</v>
      </c>
      <c r="X523" t="s">
        <v>761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725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725</v>
      </c>
      <c r="X525" t="s">
        <v>723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725</v>
      </c>
      <c r="X526" t="s">
        <v>719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725</v>
      </c>
      <c r="X527" t="s">
        <v>762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725</v>
      </c>
      <c r="X528" t="s">
        <v>763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725</v>
      </c>
      <c r="X529" t="s">
        <v>727</v>
      </c>
      <c r="Y529">
        <v>1000</v>
      </c>
    </row>
    <row r="530" spans="22:25" ht="15">
      <c r="V530" t="str">
        <f t="shared" si="8"/>
        <v>Meters  &lt;&lt;&lt;&gt;&gt;&gt; Rods</v>
      </c>
      <c r="W530" t="s">
        <v>725</v>
      </c>
      <c r="X530" t="s">
        <v>618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725</v>
      </c>
      <c r="X531" t="s">
        <v>728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764</v>
      </c>
      <c r="X532" t="s">
        <v>735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764</v>
      </c>
      <c r="X533" t="s">
        <v>765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766</v>
      </c>
      <c r="X534" t="s">
        <v>767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500</v>
      </c>
      <c r="X535" t="s">
        <v>495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500</v>
      </c>
      <c r="X536" t="s">
        <v>496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500</v>
      </c>
      <c r="X537" t="s">
        <v>497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500</v>
      </c>
      <c r="X538" t="s">
        <v>498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500</v>
      </c>
      <c r="X539" t="s">
        <v>499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500</v>
      </c>
      <c r="X540" t="s">
        <v>501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768</v>
      </c>
      <c r="X541" t="s">
        <v>735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768</v>
      </c>
      <c r="X542" t="s">
        <v>496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768</v>
      </c>
      <c r="X543" t="s">
        <v>497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768</v>
      </c>
      <c r="X544" t="s">
        <v>498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768</v>
      </c>
      <c r="X545" t="s">
        <v>769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768</v>
      </c>
      <c r="X546" t="s">
        <v>501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768</v>
      </c>
      <c r="X547" t="s">
        <v>502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610</v>
      </c>
      <c r="X548" t="s">
        <v>503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610</v>
      </c>
      <c r="X549" t="s">
        <v>504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610</v>
      </c>
      <c r="X550" t="s">
        <v>505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610</v>
      </c>
      <c r="X551" t="s">
        <v>507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770</v>
      </c>
      <c r="X552" t="s">
        <v>479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759</v>
      </c>
      <c r="X553" t="s">
        <v>758</v>
      </c>
      <c r="Y553">
        <v>1E-12</v>
      </c>
    </row>
    <row r="554" spans="22:25" ht="15">
      <c r="V554" t="str">
        <f t="shared" si="8"/>
        <v>Microhms  &lt;&lt;&lt;&gt;&gt;&gt; Ohms </v>
      </c>
      <c r="W554" t="s">
        <v>759</v>
      </c>
      <c r="X554" t="s">
        <v>760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771</v>
      </c>
      <c r="X555" t="s">
        <v>464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772</v>
      </c>
      <c r="X556" t="s">
        <v>725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762</v>
      </c>
      <c r="X557" t="s">
        <v>722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762</v>
      </c>
      <c r="X558" t="s">
        <v>719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762</v>
      </c>
      <c r="X559" t="s">
        <v>725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762</v>
      </c>
      <c r="X560" t="s">
        <v>763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762</v>
      </c>
      <c r="X561" t="s">
        <v>728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763</v>
      </c>
      <c r="X562" t="s">
        <v>721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763</v>
      </c>
      <c r="X563" t="s">
        <v>722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763</v>
      </c>
      <c r="X564" t="s">
        <v>723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763</v>
      </c>
      <c r="X565" t="s">
        <v>719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763</v>
      </c>
      <c r="X566" t="s">
        <v>725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763</v>
      </c>
      <c r="X567" t="s">
        <v>762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763</v>
      </c>
      <c r="X568" t="s">
        <v>728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501</v>
      </c>
      <c r="X569" t="s">
        <v>495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501</v>
      </c>
      <c r="X570" t="s">
        <v>496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501</v>
      </c>
      <c r="X571" t="s">
        <v>497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501</v>
      </c>
      <c r="X572" t="s">
        <v>498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501</v>
      </c>
      <c r="X573" t="s">
        <v>769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501</v>
      </c>
      <c r="X574" t="s">
        <v>499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501</v>
      </c>
      <c r="X575" t="s">
        <v>500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501</v>
      </c>
      <c r="X576" t="s">
        <v>502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507</v>
      </c>
      <c r="X577" t="s">
        <v>503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507</v>
      </c>
      <c r="X578" t="s">
        <v>504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507</v>
      </c>
      <c r="X579" t="s">
        <v>505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507</v>
      </c>
      <c r="X580" t="s">
        <v>506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502</v>
      </c>
      <c r="X581" t="s">
        <v>495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502</v>
      </c>
      <c r="X582" t="s">
        <v>497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502</v>
      </c>
      <c r="X583" t="s">
        <v>769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502</v>
      </c>
      <c r="X584" t="s">
        <v>773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502</v>
      </c>
      <c r="X585" t="s">
        <v>501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774</v>
      </c>
      <c r="X586" t="s">
        <v>589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646</v>
      </c>
      <c r="X587" t="s">
        <v>566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646</v>
      </c>
      <c r="X588" t="s">
        <v>479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775</v>
      </c>
      <c r="X589" t="s">
        <v>464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727</v>
      </c>
      <c r="X590" t="s">
        <v>721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727</v>
      </c>
      <c r="X591" t="s">
        <v>722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727</v>
      </c>
      <c r="X592" t="s">
        <v>723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727</v>
      </c>
      <c r="X593" t="s">
        <v>719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727</v>
      </c>
      <c r="X594" t="s">
        <v>725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727</v>
      </c>
      <c r="X595" t="s">
        <v>741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727</v>
      </c>
      <c r="X596" t="s">
        <v>776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727</v>
      </c>
      <c r="X597" t="s">
        <v>728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777</v>
      </c>
      <c r="X598" t="s">
        <v>767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778</v>
      </c>
      <c r="X599" t="s">
        <v>725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776</v>
      </c>
      <c r="X600" t="s">
        <v>721</v>
      </c>
      <c r="Y600">
        <v>0.00254</v>
      </c>
    </row>
    <row r="601" spans="22:25" ht="15">
      <c r="V601" t="str">
        <f t="shared" si="9"/>
        <v>Mils  &lt;&lt;&lt;&gt;&gt;&gt; Feet </v>
      </c>
      <c r="W601" t="s">
        <v>776</v>
      </c>
      <c r="X601" t="s">
        <v>722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776</v>
      </c>
      <c r="X602" t="s">
        <v>723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776</v>
      </c>
      <c r="X603" t="s">
        <v>719</v>
      </c>
      <c r="Y603">
        <v>0.00254</v>
      </c>
    </row>
    <row r="604" spans="22:25" ht="15">
      <c r="V604" t="str">
        <f t="shared" si="9"/>
        <v>Mils  &lt;&lt;&lt;&gt;&gt;&gt; Yards </v>
      </c>
      <c r="W604" t="s">
        <v>776</v>
      </c>
      <c r="X604" t="s">
        <v>728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779</v>
      </c>
      <c r="X605" t="s">
        <v>780</v>
      </c>
      <c r="Y605">
        <v>60</v>
      </c>
    </row>
    <row r="606" spans="22:25" ht="15">
      <c r="V606" t="str">
        <f t="shared" si="9"/>
        <v>Newtons (N) &lt;&lt;&lt;&gt;&gt;&gt; Dynes</v>
      </c>
      <c r="W606" t="s">
        <v>586</v>
      </c>
      <c r="X606" t="s">
        <v>583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586</v>
      </c>
      <c r="X607" t="s">
        <v>781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586</v>
      </c>
      <c r="X608" t="s">
        <v>732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586</v>
      </c>
      <c r="X609" t="s">
        <v>782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586</v>
      </c>
      <c r="X610" t="s">
        <v>783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586</v>
      </c>
      <c r="X611" t="s">
        <v>784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785</v>
      </c>
      <c r="X612" t="s">
        <v>786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785</v>
      </c>
      <c r="X613" t="s">
        <v>787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788</v>
      </c>
      <c r="X614" t="s">
        <v>789</v>
      </c>
      <c r="Y614">
        <v>1.0005</v>
      </c>
    </row>
    <row r="615" spans="22:25" ht="15">
      <c r="V615" t="str">
        <f t="shared" si="9"/>
        <v>Ohms  &lt;&lt;&lt;&gt;&gt;&gt; Megohms </v>
      </c>
      <c r="W615" t="s">
        <v>760</v>
      </c>
      <c r="X615" t="s">
        <v>758</v>
      </c>
      <c r="Y615">
        <v>1E-06</v>
      </c>
    </row>
    <row r="616" spans="22:25" ht="15">
      <c r="V616" t="str">
        <f t="shared" si="9"/>
        <v>Ohms  &lt;&lt;&lt;&gt;&gt;&gt; Microhms </v>
      </c>
      <c r="W616" t="s">
        <v>760</v>
      </c>
      <c r="X616" t="s">
        <v>759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567</v>
      </c>
      <c r="X617" t="s">
        <v>565</v>
      </c>
      <c r="Y617">
        <v>16</v>
      </c>
    </row>
    <row r="618" spans="22:25" ht="15">
      <c r="V618" t="str">
        <f t="shared" si="9"/>
        <v>Ounces  &lt;&lt;&lt;&gt;&gt;&gt; Grains </v>
      </c>
      <c r="W618" t="s">
        <v>567</v>
      </c>
      <c r="X618" t="s">
        <v>566</v>
      </c>
      <c r="Y618">
        <v>437.5</v>
      </c>
    </row>
    <row r="619" spans="22:25" ht="15">
      <c r="V619" t="str">
        <f t="shared" si="9"/>
        <v>Ounces  &lt;&lt;&lt;&gt;&gt;&gt; Grams </v>
      </c>
      <c r="W619" t="s">
        <v>567</v>
      </c>
      <c r="X619" t="s">
        <v>479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567</v>
      </c>
      <c r="X620" t="s">
        <v>569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567</v>
      </c>
      <c r="X621" t="s">
        <v>591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567</v>
      </c>
      <c r="X622" t="s">
        <v>675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567</v>
      </c>
      <c r="X623" t="s">
        <v>677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640</v>
      </c>
      <c r="X624" t="s">
        <v>690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640</v>
      </c>
      <c r="X625" t="s">
        <v>639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641</v>
      </c>
      <c r="X626" t="s">
        <v>690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641</v>
      </c>
      <c r="X627" t="s">
        <v>639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569</v>
      </c>
      <c r="X628" t="s">
        <v>566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569</v>
      </c>
      <c r="X629" t="s">
        <v>479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569</v>
      </c>
      <c r="X630" t="s">
        <v>636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569</v>
      </c>
      <c r="X631" t="s">
        <v>790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569</v>
      </c>
      <c r="X632" t="s">
        <v>791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792</v>
      </c>
      <c r="X633" t="s">
        <v>710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782</v>
      </c>
      <c r="X634" t="s">
        <v>586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793</v>
      </c>
      <c r="X635" t="s">
        <v>719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793</v>
      </c>
      <c r="X636" t="s">
        <v>741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794</v>
      </c>
      <c r="X637" t="s">
        <v>462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794</v>
      </c>
      <c r="X638" t="s">
        <v>464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795</v>
      </c>
      <c r="X639" t="s">
        <v>462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795</v>
      </c>
      <c r="X640" t="s">
        <v>464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790</v>
      </c>
      <c r="X641" t="s">
        <v>566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790</v>
      </c>
      <c r="X642" t="s">
        <v>479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790</v>
      </c>
      <c r="X643" t="s">
        <v>569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790</v>
      </c>
      <c r="X644" t="s">
        <v>791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796</v>
      </c>
      <c r="X645" t="s">
        <v>797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796</v>
      </c>
      <c r="X646" t="s">
        <v>462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796</v>
      </c>
      <c r="X647" t="s">
        <v>798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796</v>
      </c>
      <c r="X648" t="s">
        <v>799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796</v>
      </c>
      <c r="X649" t="s">
        <v>464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796</v>
      </c>
      <c r="X650" t="s">
        <v>775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796</v>
      </c>
      <c r="X651" t="s">
        <v>800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796</v>
      </c>
      <c r="X652" t="s">
        <v>801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796</v>
      </c>
      <c r="X653" t="s">
        <v>802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801</v>
      </c>
      <c r="X654" t="s">
        <v>803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802</v>
      </c>
      <c r="X655" t="s">
        <v>632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802</v>
      </c>
      <c r="X656" t="s">
        <v>402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802</v>
      </c>
      <c r="X657" t="s">
        <v>462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802</v>
      </c>
      <c r="X658" t="s">
        <v>463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802</v>
      </c>
      <c r="X659" t="s">
        <v>531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802</v>
      </c>
      <c r="X660" t="s">
        <v>622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802</v>
      </c>
      <c r="X661" t="s">
        <v>804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802</v>
      </c>
      <c r="X662" t="s">
        <v>464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802</v>
      </c>
      <c r="X663" t="s">
        <v>775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802</v>
      </c>
      <c r="X664" t="s">
        <v>805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802</v>
      </c>
      <c r="X665" t="s">
        <v>806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802</v>
      </c>
      <c r="X666" t="s">
        <v>807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783</v>
      </c>
      <c r="X667" t="s">
        <v>586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587</v>
      </c>
      <c r="X668" t="s">
        <v>583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590</v>
      </c>
      <c r="X669" t="s">
        <v>479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590</v>
      </c>
      <c r="X670" t="s">
        <v>589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590</v>
      </c>
      <c r="X671" t="s">
        <v>591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485</v>
      </c>
      <c r="X672" t="s">
        <v>483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485</v>
      </c>
      <c r="X673" t="s">
        <v>509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485</v>
      </c>
      <c r="X674" t="s">
        <v>484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583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591</v>
      </c>
      <c r="X676" t="s">
        <v>565</v>
      </c>
      <c r="Y676">
        <v>256</v>
      </c>
    </row>
    <row r="677" spans="22:25" ht="15">
      <c r="V677" t="str">
        <f t="shared" si="10"/>
        <v>Pounds  &lt;&lt;&lt;&gt;&gt;&gt; Dynes </v>
      </c>
      <c r="W677" t="s">
        <v>591</v>
      </c>
      <c r="X677" t="s">
        <v>588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591</v>
      </c>
      <c r="X678" t="s">
        <v>566</v>
      </c>
      <c r="Y678">
        <v>7000</v>
      </c>
    </row>
    <row r="679" spans="22:25" ht="15">
      <c r="V679" t="str">
        <f t="shared" si="10"/>
        <v>Pounds  &lt;&lt;&lt;&gt;&gt;&gt; Grams </v>
      </c>
      <c r="W679" t="s">
        <v>591</v>
      </c>
      <c r="X679" t="s">
        <v>479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591</v>
      </c>
      <c r="X680" t="s">
        <v>697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591</v>
      </c>
      <c r="X681" t="s">
        <v>698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591</v>
      </c>
      <c r="X682" t="s">
        <v>589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591</v>
      </c>
      <c r="X683" t="s">
        <v>567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591</v>
      </c>
      <c r="X684" t="s">
        <v>569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591</v>
      </c>
      <c r="X685" t="s">
        <v>590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591</v>
      </c>
      <c r="X686" t="s">
        <v>791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591</v>
      </c>
      <c r="X687" t="s">
        <v>808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591</v>
      </c>
      <c r="X688" t="s">
        <v>699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691</v>
      </c>
      <c r="X689" t="s">
        <v>639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791</v>
      </c>
      <c r="X690" t="s">
        <v>566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791</v>
      </c>
      <c r="X691" t="s">
        <v>479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791</v>
      </c>
      <c r="X692" t="s">
        <v>636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791</v>
      </c>
      <c r="X693" t="s">
        <v>569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791</v>
      </c>
      <c r="X694" t="s">
        <v>790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791</v>
      </c>
      <c r="X695" t="s">
        <v>809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791</v>
      </c>
      <c r="X696" t="s">
        <v>675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791</v>
      </c>
      <c r="X697" t="s">
        <v>677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791</v>
      </c>
      <c r="X698" t="s">
        <v>699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810</v>
      </c>
      <c r="X699" t="s">
        <v>402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810</v>
      </c>
      <c r="X700" t="s">
        <v>462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810</v>
      </c>
      <c r="X701" t="s">
        <v>434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542</v>
      </c>
      <c r="X702" t="s">
        <v>543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701</v>
      </c>
      <c r="X703" t="s">
        <v>700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649</v>
      </c>
      <c r="X704" t="s">
        <v>648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786</v>
      </c>
      <c r="X705" t="s">
        <v>586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702</v>
      </c>
      <c r="X706" t="s">
        <v>700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703</v>
      </c>
      <c r="X707" t="s">
        <v>700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787</v>
      </c>
      <c r="X708" t="s">
        <v>586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811</v>
      </c>
      <c r="X709" t="s">
        <v>705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811</v>
      </c>
      <c r="X710" t="s">
        <v>812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811</v>
      </c>
      <c r="X711" t="s">
        <v>707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811</v>
      </c>
      <c r="X712" t="s">
        <v>708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707</v>
      </c>
      <c r="X713" t="s">
        <v>813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707</v>
      </c>
      <c r="X714" t="s">
        <v>812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707</v>
      </c>
      <c r="X715" t="s">
        <v>811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707</v>
      </c>
      <c r="X716" t="s">
        <v>708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709</v>
      </c>
      <c r="X717" t="s">
        <v>416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709</v>
      </c>
      <c r="X718" t="s">
        <v>488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709</v>
      </c>
      <c r="X719" t="s">
        <v>716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709</v>
      </c>
      <c r="X720" t="s">
        <v>710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710</v>
      </c>
      <c r="X721" t="s">
        <v>416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710</v>
      </c>
      <c r="X722" t="s">
        <v>488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710</v>
      </c>
      <c r="X723" t="s">
        <v>716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710</v>
      </c>
      <c r="X724" t="s">
        <v>709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784</v>
      </c>
      <c r="X725" t="s">
        <v>586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431</v>
      </c>
      <c r="X726" t="s">
        <v>462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807</v>
      </c>
      <c r="X727" t="s">
        <v>530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807</v>
      </c>
      <c r="X728" t="s">
        <v>402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807</v>
      </c>
      <c r="X729" t="s">
        <v>462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807</v>
      </c>
      <c r="X730" t="s">
        <v>463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807</v>
      </c>
      <c r="X731" t="s">
        <v>531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807</v>
      </c>
      <c r="X732" t="s">
        <v>434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807</v>
      </c>
      <c r="X733" t="s">
        <v>464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560</v>
      </c>
      <c r="X734" t="s">
        <v>814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815</v>
      </c>
      <c r="X735" t="s">
        <v>816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815</v>
      </c>
      <c r="X736" t="s">
        <v>817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561</v>
      </c>
      <c r="X737" t="s">
        <v>818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819</v>
      </c>
      <c r="X738" t="s">
        <v>820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819</v>
      </c>
      <c r="X739" t="s">
        <v>816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819</v>
      </c>
      <c r="X740" t="s">
        <v>821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822</v>
      </c>
      <c r="X741" t="s">
        <v>823</v>
      </c>
      <c r="Y741">
        <v>0.25</v>
      </c>
    </row>
    <row r="742" spans="22:25" ht="15">
      <c r="V742" t="str">
        <f t="shared" si="11"/>
        <v>Rod  &lt;&lt;&lt;&gt;&gt;&gt; Meters </v>
      </c>
      <c r="W742" t="s">
        <v>822</v>
      </c>
      <c r="X742" t="s">
        <v>725</v>
      </c>
      <c r="Y742">
        <v>5.029</v>
      </c>
    </row>
    <row r="743" spans="22:25" ht="15">
      <c r="V743" t="str">
        <f t="shared" si="11"/>
        <v>Rods  &lt;&lt;&lt;&gt;&gt;&gt; Feet </v>
      </c>
      <c r="W743" t="s">
        <v>824</v>
      </c>
      <c r="X743" t="s">
        <v>722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825</v>
      </c>
      <c r="X744" t="s">
        <v>728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692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826</v>
      </c>
      <c r="X747" t="s">
        <v>827</v>
      </c>
      <c r="Y747">
        <v>14.59</v>
      </c>
    </row>
    <row r="748" spans="22:25" ht="15">
      <c r="V748" t="str">
        <f t="shared" si="11"/>
        <v>Slug  &lt;&lt;&lt;&gt;&gt;&gt; Pounds </v>
      </c>
      <c r="W748" t="s">
        <v>826</v>
      </c>
      <c r="X748" t="s">
        <v>591</v>
      </c>
      <c r="Y748">
        <v>32.17</v>
      </c>
    </row>
    <row r="749" spans="22:25" ht="15">
      <c r="V749" t="str">
        <f t="shared" si="11"/>
        <v>Span  &lt;&lt;&lt;&gt;&gt;&gt; Inch </v>
      </c>
      <c r="W749" t="s">
        <v>828</v>
      </c>
      <c r="X749" t="s">
        <v>829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830</v>
      </c>
      <c r="X750" t="s">
        <v>511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830</v>
      </c>
      <c r="X751" t="s">
        <v>405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830</v>
      </c>
      <c r="X752" t="s">
        <v>513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830</v>
      </c>
      <c r="X753" t="s">
        <v>407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830</v>
      </c>
      <c r="X754" t="s">
        <v>408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830</v>
      </c>
      <c r="X755" t="s">
        <v>831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830</v>
      </c>
      <c r="X756" t="s">
        <v>409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405</v>
      </c>
      <c r="X757" t="s">
        <v>406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405</v>
      </c>
      <c r="X758" t="s">
        <v>511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405</v>
      </c>
      <c r="X759" t="s">
        <v>512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405</v>
      </c>
      <c r="X760" t="s">
        <v>513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405</v>
      </c>
      <c r="X761" t="s">
        <v>407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405</v>
      </c>
      <c r="X762" t="s">
        <v>408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405</v>
      </c>
      <c r="X763" t="s">
        <v>831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405</v>
      </c>
      <c r="X764" t="s">
        <v>409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513</v>
      </c>
      <c r="X765" t="s">
        <v>511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513</v>
      </c>
      <c r="X766" t="s">
        <v>512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513</v>
      </c>
      <c r="X767" t="s">
        <v>405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513</v>
      </c>
      <c r="X768" t="s">
        <v>407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513</v>
      </c>
      <c r="X769" t="s">
        <v>831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513</v>
      </c>
      <c r="X770" t="s">
        <v>514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513</v>
      </c>
      <c r="X771" t="s">
        <v>409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832</v>
      </c>
      <c r="X772" t="s">
        <v>406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832</v>
      </c>
      <c r="X773" t="s">
        <v>512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832</v>
      </c>
      <c r="X774" t="s">
        <v>405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832</v>
      </c>
      <c r="X775" t="s">
        <v>513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832</v>
      </c>
      <c r="X776" t="s">
        <v>407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832</v>
      </c>
      <c r="X777" t="s">
        <v>408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832</v>
      </c>
      <c r="X778" t="s">
        <v>409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407</v>
      </c>
      <c r="X779" t="s">
        <v>406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407</v>
      </c>
      <c r="X780" t="s">
        <v>512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407</v>
      </c>
      <c r="X781" t="s">
        <v>405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407</v>
      </c>
      <c r="X782" t="s">
        <v>513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407</v>
      </c>
      <c r="X783" t="s">
        <v>408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407</v>
      </c>
      <c r="X784" t="s">
        <v>831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407</v>
      </c>
      <c r="X785" t="s">
        <v>409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408</v>
      </c>
      <c r="X786" t="s">
        <v>406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408</v>
      </c>
      <c r="X787" t="s">
        <v>405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408</v>
      </c>
      <c r="X788" t="s">
        <v>833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408</v>
      </c>
      <c r="X789" t="s">
        <v>407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408</v>
      </c>
      <c r="X790" t="s">
        <v>409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831</v>
      </c>
      <c r="X791" t="s">
        <v>511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831</v>
      </c>
      <c r="X792" t="s">
        <v>512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831</v>
      </c>
      <c r="X793" t="s">
        <v>405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831</v>
      </c>
      <c r="X794" t="s">
        <v>513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514</v>
      </c>
      <c r="X795" t="s">
        <v>511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514</v>
      </c>
      <c r="X796" t="s">
        <v>512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514</v>
      </c>
      <c r="X797" t="s">
        <v>513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409</v>
      </c>
      <c r="X798" t="s">
        <v>406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409</v>
      </c>
      <c r="X799" t="s">
        <v>512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409</v>
      </c>
      <c r="X800" t="s">
        <v>405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409</v>
      </c>
      <c r="X801" t="s">
        <v>513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409</v>
      </c>
      <c r="X802" t="s">
        <v>407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409</v>
      </c>
      <c r="X803" t="s">
        <v>408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409</v>
      </c>
      <c r="X804" t="s">
        <v>831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834</v>
      </c>
      <c r="X805" t="s">
        <v>835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836</v>
      </c>
      <c r="X806" t="s">
        <v>837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838</v>
      </c>
      <c r="X807" t="s">
        <v>872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838</v>
      </c>
      <c r="X808" t="s">
        <v>873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838</v>
      </c>
      <c r="X809" t="s">
        <v>874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838</v>
      </c>
      <c r="X810" t="s">
        <v>837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838</v>
      </c>
      <c r="X811" t="s">
        <v>875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838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838</v>
      </c>
      <c r="X813" t="s">
        <v>876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839</v>
      </c>
      <c r="X814" t="s">
        <v>837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840</v>
      </c>
      <c r="X815" t="s">
        <v>530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840</v>
      </c>
      <c r="X816" t="s">
        <v>872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840</v>
      </c>
      <c r="X817" t="s">
        <v>873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840</v>
      </c>
      <c r="X818" t="s">
        <v>875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840</v>
      </c>
      <c r="X819" t="s">
        <v>877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840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840</v>
      </c>
      <c r="X821" t="s">
        <v>838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693</v>
      </c>
      <c r="X822" t="s">
        <v>639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841</v>
      </c>
      <c r="X823" t="s">
        <v>639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842</v>
      </c>
      <c r="X824" t="s">
        <v>673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675</v>
      </c>
      <c r="X825" t="s">
        <v>589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675</v>
      </c>
      <c r="X826" t="s">
        <v>591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675</v>
      </c>
      <c r="X827" t="s">
        <v>699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695</v>
      </c>
      <c r="X828" t="s">
        <v>639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677</v>
      </c>
      <c r="X829" t="s">
        <v>589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677</v>
      </c>
      <c r="X830" t="s">
        <v>591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699</v>
      </c>
      <c r="X831" t="s">
        <v>567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699</v>
      </c>
      <c r="X832" t="s">
        <v>569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699</v>
      </c>
      <c r="X833" t="s">
        <v>591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699</v>
      </c>
      <c r="X834" t="s">
        <v>791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699</v>
      </c>
      <c r="X835" t="s">
        <v>675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699</v>
      </c>
      <c r="X836" t="s">
        <v>677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843</v>
      </c>
      <c r="X837" t="s">
        <v>716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843</v>
      </c>
      <c r="X838" t="s">
        <v>710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844</v>
      </c>
      <c r="X839" t="s">
        <v>624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844</v>
      </c>
      <c r="X840" t="s">
        <v>544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844</v>
      </c>
      <c r="X841" t="s">
        <v>845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846</v>
      </c>
      <c r="X842" t="s">
        <v>847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848</v>
      </c>
      <c r="X843" t="s">
        <v>849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850</v>
      </c>
      <c r="X844" t="s">
        <v>851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596</v>
      </c>
      <c r="X845" t="s">
        <v>442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596</v>
      </c>
      <c r="X846" t="s">
        <v>443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596</v>
      </c>
      <c r="X847" t="s">
        <v>614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596</v>
      </c>
      <c r="X848" t="s">
        <v>445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596</v>
      </c>
      <c r="X849" t="s">
        <v>446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596</v>
      </c>
      <c r="X850" t="s">
        <v>448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596</v>
      </c>
      <c r="X851" t="s">
        <v>852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596</v>
      </c>
      <c r="X852" t="s">
        <v>450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454</v>
      </c>
      <c r="X853" t="s">
        <v>451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454</v>
      </c>
      <c r="X854" t="s">
        <v>455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454</v>
      </c>
      <c r="X855" t="s">
        <v>853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454</v>
      </c>
      <c r="X856" t="s">
        <v>664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454</v>
      </c>
      <c r="X857" t="s">
        <v>456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454</v>
      </c>
      <c r="X858" t="s">
        <v>457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454</v>
      </c>
      <c r="X859" t="s">
        <v>667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454</v>
      </c>
      <c r="X860" t="s">
        <v>665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454</v>
      </c>
      <c r="X861" t="s">
        <v>458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854</v>
      </c>
      <c r="X862" t="s">
        <v>855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854</v>
      </c>
      <c r="X863" t="s">
        <v>856</v>
      </c>
      <c r="Y863">
        <v>1</v>
      </c>
    </row>
    <row r="864" spans="22:25" ht="15">
      <c r="V864" t="str">
        <f t="shared" si="13"/>
        <v>Week  &lt;&lt;&lt;&gt;&gt;&gt; Day </v>
      </c>
      <c r="W864" t="s">
        <v>857</v>
      </c>
      <c r="X864" t="s">
        <v>858</v>
      </c>
      <c r="Y864">
        <v>7</v>
      </c>
    </row>
    <row r="865" spans="22:25" ht="15">
      <c r="V865" t="str">
        <f t="shared" si="13"/>
        <v>Week  &lt;&lt;&lt;&gt;&gt;&gt; Hour </v>
      </c>
      <c r="W865" t="s">
        <v>857</v>
      </c>
      <c r="X865" t="s">
        <v>859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857</v>
      </c>
      <c r="X866" t="s">
        <v>860</v>
      </c>
      <c r="Y866">
        <v>10080</v>
      </c>
    </row>
    <row r="867" spans="22:25" ht="15">
      <c r="V867" t="str">
        <f t="shared" si="13"/>
        <v>Week  &lt;&lt;&lt;&gt;&gt;&gt; Month </v>
      </c>
      <c r="W867" t="s">
        <v>857</v>
      </c>
      <c r="X867" t="s">
        <v>861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857</v>
      </c>
      <c r="X868" t="s">
        <v>862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728</v>
      </c>
      <c r="X869" t="s">
        <v>721</v>
      </c>
      <c r="Y869">
        <v>91.44</v>
      </c>
    </row>
    <row r="870" spans="22:25" ht="15">
      <c r="V870" t="str">
        <f t="shared" si="13"/>
        <v>Yards  &lt;&lt;&lt;&gt;&gt;&gt; fathom </v>
      </c>
      <c r="W870" t="s">
        <v>728</v>
      </c>
      <c r="X870" t="s">
        <v>863</v>
      </c>
      <c r="Y870">
        <v>0.5</v>
      </c>
    </row>
    <row r="871" spans="22:25" ht="15">
      <c r="V871" t="str">
        <f t="shared" si="13"/>
        <v>Yards  &lt;&lt;&lt;&gt;&gt;&gt; Foot </v>
      </c>
      <c r="W871" t="s">
        <v>728</v>
      </c>
      <c r="X871" t="s">
        <v>864</v>
      </c>
      <c r="Y871">
        <v>3</v>
      </c>
    </row>
    <row r="872" spans="22:25" ht="15">
      <c r="V872" t="str">
        <f t="shared" si="13"/>
        <v>Yards  &lt;&lt;&lt;&gt;&gt;&gt; Inches </v>
      </c>
      <c r="W872" t="s">
        <v>728</v>
      </c>
      <c r="X872" t="s">
        <v>723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728</v>
      </c>
      <c r="X873" t="s">
        <v>719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728</v>
      </c>
      <c r="X874" t="s">
        <v>725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728</v>
      </c>
      <c r="X875" t="s">
        <v>762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728</v>
      </c>
      <c r="X876" t="s">
        <v>763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728</v>
      </c>
      <c r="X877" t="s">
        <v>727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865</v>
      </c>
      <c r="X878" t="s">
        <v>858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865</v>
      </c>
      <c r="X879" t="s">
        <v>859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865</v>
      </c>
      <c r="X880" t="s">
        <v>866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865</v>
      </c>
      <c r="X881" t="s">
        <v>862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865</v>
      </c>
      <c r="X882" t="s">
        <v>857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A1:I510"/>
  <sheetViews>
    <sheetView showGridLines="0" showRowColHeaders="0" zoomScale="71" zoomScaleNormal="71" zoomScalePageLayoutView="0" workbookViewId="0" topLeftCell="A1">
      <pane ySplit="11" topLeftCell="A12" activePane="bottomLeft" state="frozen"/>
      <selection pane="topLeft" activeCell="A1" sqref="A1"/>
      <selection pane="bottomLeft" activeCell="G36" sqref="G36"/>
    </sheetView>
  </sheetViews>
  <sheetFormatPr defaultColWidth="8.886718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/>
      <c r="D3" s="257" t="s">
        <v>23</v>
      </c>
      <c r="E3" s="18"/>
      <c r="F3" s="18"/>
      <c r="G3" s="28">
        <f>IF(C5="","",PMT((C4/12)/100,C5,-C3))</f>
      </c>
      <c r="H3" s="257" t="s">
        <v>24</v>
      </c>
      <c r="I3" s="62"/>
    </row>
    <row r="4" spans="1:9" ht="15">
      <c r="A4" s="63"/>
      <c r="B4" s="259" t="s">
        <v>25</v>
      </c>
      <c r="C4" s="181"/>
      <c r="D4" s="257" t="s">
        <v>26</v>
      </c>
      <c r="E4" s="18"/>
      <c r="F4" s="18"/>
      <c r="G4" s="28">
        <f>IF(C5="","",SUM(G3*C5-C3))</f>
      </c>
      <c r="H4" s="257" t="s">
        <v>27</v>
      </c>
      <c r="I4" s="65"/>
    </row>
    <row r="5" spans="1:9" ht="15">
      <c r="A5" s="63"/>
      <c r="B5" s="311"/>
      <c r="C5" s="3"/>
      <c r="D5" s="257" t="s">
        <v>28</v>
      </c>
      <c r="E5" s="18"/>
      <c r="F5" s="18"/>
      <c r="G5" s="28">
        <f>IF(C5="","",SUM(G3*C5))</f>
      </c>
      <c r="H5" s="257" t="s">
        <v>29</v>
      </c>
      <c r="I5" s="65"/>
    </row>
    <row r="6" spans="1:9" ht="15">
      <c r="A6" s="63"/>
      <c r="B6" s="259" t="s">
        <v>30</v>
      </c>
      <c r="C6" s="188"/>
      <c r="D6" s="258" t="s">
        <v>31</v>
      </c>
      <c r="E6" s="18"/>
      <c r="F6" s="18"/>
      <c r="G6" s="195">
        <f>IF(C5="","",C5/12)</f>
      </c>
      <c r="H6" s="257" t="s">
        <v>32</v>
      </c>
      <c r="I6" s="65"/>
    </row>
    <row r="7" spans="1:9" ht="15">
      <c r="A7" s="61"/>
      <c r="B7" s="259" t="s">
        <v>22</v>
      </c>
      <c r="C7" s="310"/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>
        <f>IF(B12="","","Jan")</f>
      </c>
      <c r="B12">
        <f>IF(C6=1,1,"")</f>
      </c>
      <c r="C12" s="180">
        <f>IF($C$6=1,C3,"")</f>
      </c>
      <c r="D12" s="180">
        <f>IF($C$6=1,$C$3*(($C$4/100)/12),"")</f>
      </c>
      <c r="E12" s="180">
        <f>IF($C$6=1,($C$7+$G$3)-D12,"")</f>
      </c>
      <c r="F12" s="180">
        <f>IF($C$6=1,C12-E12,"")</f>
      </c>
      <c r="G12" s="180">
        <f>E12</f>
      </c>
      <c r="H12" s="180">
        <f>D12</f>
      </c>
    </row>
    <row r="13" spans="1:8" ht="15">
      <c r="A13" s="189">
        <f>IF(B13="","","Feb")</f>
      </c>
      <c r="B13">
        <f>IF(B12=ABS($C$5),"",IF($C$6=2,1,IF(B12="","",IF(F12-$C$7&lt;=0,"",B12+1))))</f>
      </c>
      <c r="C13" s="180">
        <f>IF(B13="","",IF($C$6=2,$C$3,F12))</f>
      </c>
      <c r="D13" s="180">
        <f aca="true" t="shared" si="0" ref="D13:D25">IF(B13="","",C13*(($C$4/100)/12))</f>
      </c>
      <c r="E13" s="180">
        <f aca="true" t="shared" si="1" ref="E13:E76">IF(B13="","",IF(C13+D13&lt;($G$3+$C$7),(C13+D13)-D13,($G$3+$C$7)-D13))</f>
      </c>
      <c r="F13" s="180">
        <f>IF(B13="","",C13-E13)</f>
      </c>
      <c r="G13" s="180">
        <f>IF(B13="","",G12+E13)</f>
      </c>
      <c r="H13" s="180">
        <f aca="true" t="shared" si="2" ref="H13:H76">IF(B13="","",H12+D13)</f>
      </c>
    </row>
    <row r="14" spans="1:8" ht="15">
      <c r="A14" s="189">
        <f>IF(B14="","","Mar")</f>
      </c>
      <c r="B14">
        <f>IF(B13=ABS($C$5),"",IF($C$6=3,1,IF(B13="","",IF(F13-$C$7&lt;=0,"",B13+1))))</f>
      </c>
      <c r="C14" s="180">
        <f>IF(B14="","",IF($C$6=3,$C$3,F13))</f>
      </c>
      <c r="D14" s="180">
        <f t="shared" si="0"/>
      </c>
      <c r="E14" s="180">
        <f t="shared" si="1"/>
      </c>
      <c r="F14" s="180">
        <f aca="true" t="shared" si="3" ref="F14:F29">IF(B14="","",C14-E14)</f>
      </c>
      <c r="G14" s="180">
        <f aca="true" t="shared" si="4" ref="G14:G29">IF(B14="","",G13+E14)</f>
      </c>
      <c r="H14" s="180">
        <f t="shared" si="2"/>
      </c>
    </row>
    <row r="15" spans="1:8" ht="15">
      <c r="A15" s="189">
        <f>IF(B15="","","Apr")</f>
      </c>
      <c r="B15">
        <f>IF(B14=ABS($C$5),"",IF($C$6=4,1,IF(B14="","",IF(F14-$C$7&lt;=0,"",B14+1))))</f>
      </c>
      <c r="C15" s="180">
        <f>IF(B15="","",IF($C$6=4,$C$3,F14))</f>
      </c>
      <c r="D15" s="180">
        <f t="shared" si="0"/>
      </c>
      <c r="E15" s="180">
        <f t="shared" si="1"/>
      </c>
      <c r="F15" s="180">
        <f t="shared" si="3"/>
      </c>
      <c r="G15" s="180">
        <f t="shared" si="4"/>
      </c>
      <c r="H15" s="180">
        <f t="shared" si="2"/>
      </c>
    </row>
    <row r="16" spans="1:8" ht="15">
      <c r="A16" s="189">
        <f>IF(B16="","","May")</f>
      </c>
      <c r="B16">
        <f>IF(B15=ABS($C$5),"",IF($C$6=5,1,IF(B15="","",IF(F15-$C$7&lt;=0,"",B15+1))))</f>
      </c>
      <c r="C16" s="180">
        <f>IF(B16="","",IF($C$6=5,$C$3,F15))</f>
      </c>
      <c r="D16" s="180">
        <f t="shared" si="0"/>
      </c>
      <c r="E16" s="180">
        <f t="shared" si="1"/>
      </c>
      <c r="F16" s="180">
        <f t="shared" si="3"/>
      </c>
      <c r="G16" s="180">
        <f t="shared" si="4"/>
      </c>
      <c r="H16" s="180">
        <f t="shared" si="2"/>
      </c>
    </row>
    <row r="17" spans="1:8" ht="15">
      <c r="A17" s="189">
        <f>IF(B17="","","Jun")</f>
      </c>
      <c r="B17">
        <f>IF(B16=ABS($C$5),"",IF($C$6=6,1,IF(B16="","",IF(F16-$C$7&lt;=0,"",B16+1))))</f>
      </c>
      <c r="C17" s="180">
        <f>IF(B17="","",IF($C$6=6,$C$3,F16))</f>
      </c>
      <c r="D17" s="180">
        <f t="shared" si="0"/>
      </c>
      <c r="E17" s="180">
        <f t="shared" si="1"/>
      </c>
      <c r="F17" s="180">
        <f t="shared" si="3"/>
      </c>
      <c r="G17" s="180">
        <f t="shared" si="4"/>
      </c>
      <c r="H17" s="180">
        <f t="shared" si="2"/>
      </c>
    </row>
    <row r="18" spans="1:8" ht="15">
      <c r="A18" s="189">
        <f>IF(B18="","","Jul")</f>
      </c>
      <c r="B18">
        <f>IF(B17=ABS($C$5),"",IF($C$6=7,1,IF(B17="","",IF(F17-$C$7&lt;=0,"",B17+1))))</f>
      </c>
      <c r="C18" s="180">
        <f>IF(B18="","",IF($C$6=7,$C$3,F17))</f>
      </c>
      <c r="D18" s="180">
        <f t="shared" si="0"/>
      </c>
      <c r="E18" s="180">
        <f t="shared" si="1"/>
      </c>
      <c r="F18" s="180">
        <f t="shared" si="3"/>
      </c>
      <c r="G18" s="180">
        <f t="shared" si="4"/>
      </c>
      <c r="H18" s="180">
        <f t="shared" si="2"/>
      </c>
    </row>
    <row r="19" spans="1:9" ht="15">
      <c r="A19" s="189">
        <f>IF(B19="","","Aug")</f>
      </c>
      <c r="B19">
        <f>IF(B18=ABS($C$5),"",IF($C$6=8,1,IF(B18="","",IF(F18-$C$7&lt;=0,"",B18+1))))</f>
      </c>
      <c r="C19" s="180">
        <f>IF(B19="","",IF($C$6=8,$C$3,F18))</f>
      </c>
      <c r="D19" s="180">
        <f t="shared" si="0"/>
      </c>
      <c r="E19" s="180">
        <f t="shared" si="1"/>
      </c>
      <c r="F19" s="180">
        <f t="shared" si="3"/>
      </c>
      <c r="G19" s="180">
        <f t="shared" si="4"/>
      </c>
      <c r="H19" s="180">
        <f t="shared" si="2"/>
      </c>
      <c r="I19" s="183">
        <f>IF(C6="","","Principle")</f>
      </c>
    </row>
    <row r="20" spans="1:9" ht="15">
      <c r="A20" s="189">
        <f>IF(B20="","","Sep")</f>
      </c>
      <c r="B20">
        <f>IF(B19=ABS($C$5),"",IF($C$6=9,1,IF(B19="","",IF(F19-$C$7&lt;=0,"",B19+1))))</f>
      </c>
      <c r="C20" s="180">
        <f>IF(B20="","",IF($C$6=9,$C$3,F19))</f>
      </c>
      <c r="D20" s="180">
        <f t="shared" si="0"/>
      </c>
      <c r="E20" s="180">
        <f t="shared" si="1"/>
      </c>
      <c r="F20" s="180">
        <f t="shared" si="3"/>
      </c>
      <c r="G20" s="180">
        <f t="shared" si="4"/>
      </c>
      <c r="H20" s="180">
        <f t="shared" si="2"/>
      </c>
      <c r="I20" s="184">
        <f>IF(C6="","",SUM(E12:E23))</f>
      </c>
    </row>
    <row r="21" spans="1:9" ht="15">
      <c r="A21" s="189">
        <f>IF(B21="","","Oct")</f>
      </c>
      <c r="B21">
        <f>IF(B20=ABS($C$5),"",IF($C$6=10,1,IF(B20="","",IF(F20-$C$7&lt;=0,"",B20+1))))</f>
      </c>
      <c r="C21" s="180">
        <f>IF(B21="","",IF($C$6=10,$C$3,F20))</f>
      </c>
      <c r="D21" s="180">
        <f t="shared" si="0"/>
      </c>
      <c r="E21" s="180">
        <f t="shared" si="1"/>
      </c>
      <c r="F21" s="180">
        <f t="shared" si="3"/>
      </c>
      <c r="G21" s="180">
        <f t="shared" si="4"/>
      </c>
      <c r="H21" s="180">
        <f t="shared" si="2"/>
      </c>
      <c r="I21" s="183">
        <f>IF(C6="","","Interest")</f>
      </c>
    </row>
    <row r="22" spans="1:9" ht="15">
      <c r="A22" s="189">
        <f>IF(B22="","","Nov")</f>
      </c>
      <c r="B22">
        <f>IF(B21=ABS($C$5),"",IF($C$6=11,1,IF(B21="","",IF(F21-$C$7&lt;=0,"",B21+1))))</f>
      </c>
      <c r="C22" s="180">
        <f>IF(B22="","",IF($C$6=11,$C$3,F21))</f>
      </c>
      <c r="D22" s="180">
        <f t="shared" si="0"/>
      </c>
      <c r="E22" s="180">
        <f t="shared" si="1"/>
      </c>
      <c r="F22" s="180">
        <f t="shared" si="3"/>
      </c>
      <c r="G22" s="180">
        <f t="shared" si="4"/>
      </c>
      <c r="H22" s="180">
        <f t="shared" si="2"/>
      </c>
      <c r="I22" s="184">
        <f>IF(C6="","",SUM(D12:D23))</f>
      </c>
    </row>
    <row r="23" spans="1:9" ht="15">
      <c r="A23" s="190">
        <f>IF(B23="","","Dec")</f>
      </c>
      <c r="B23" s="185">
        <f>IF(B22=ABS($C$5),"",IF($C$6=12,1,IF(B22="","",IF(F22-$C$7&lt;=0,"",B22+1))))</f>
      </c>
      <c r="C23" s="186">
        <f>IF(B23="","",IF($C$6=12,$C$3,F22))</f>
      </c>
      <c r="D23" s="186">
        <f t="shared" si="0"/>
      </c>
      <c r="E23" s="186">
        <f t="shared" si="1"/>
      </c>
      <c r="F23" s="186">
        <f t="shared" si="3"/>
      </c>
      <c r="G23" s="186">
        <f t="shared" si="4"/>
      </c>
      <c r="H23" s="186">
        <f t="shared" si="2"/>
      </c>
      <c r="I23" s="187">
        <f>IF(C6="","","End of year 1")</f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20"/>
  <sheetViews>
    <sheetView showGridLines="0" showRowColHeaders="0" zoomScalePageLayoutView="0" workbookViewId="0" topLeftCell="A1">
      <selection activeCell="D5" sqref="D5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>
        <v>62</v>
      </c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>
        <v>75</v>
      </c>
      <c r="E4" s="85"/>
      <c r="F4" s="85"/>
      <c r="G4" s="85"/>
      <c r="H4" s="85"/>
      <c r="I4" s="85"/>
      <c r="J4" s="91"/>
      <c r="K4" s="83">
        <v>2</v>
      </c>
    </row>
    <row r="5" spans="2:11" ht="12.75">
      <c r="B5" s="89"/>
      <c r="C5" s="86" t="s">
        <v>49</v>
      </c>
      <c r="D5" s="148">
        <v>30</v>
      </c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1.4</v>
      </c>
    </row>
    <row r="6" spans="2:10" ht="12.75">
      <c r="B6" s="89"/>
      <c r="C6" s="85"/>
      <c r="D6" s="85"/>
      <c r="E6" s="85"/>
      <c r="F6" s="88">
        <f>IF(D5="","",(((D3*4.3)+(D4*4.3)+655)-D5*4.7)*K5)</f>
        <v>1544.3399999999997</v>
      </c>
      <c r="G6" s="85"/>
      <c r="H6" s="88">
        <f>IF(D5="","",(((D3*6.2)+(D4*12.7)+65)-D5*6.8)*K5)</f>
        <v>1677.06</v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 t="str">
        <f>IF(D3="","","Approximate daily calorie intake to")</f>
        <v>Approximate daily calorie intake to</v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 t="str">
        <f>IF(D3="","",CONCATENATE("maintain a weight of ",D3," pounds."))</f>
        <v>maintain a weight of 62 pounds.</v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 t="str">
        <f>IF(D4="","","Your body mass index is")</f>
        <v>Your body mass index is</v>
      </c>
      <c r="I12" s="88">
        <f>IF(D4="","",(D3*0.45)/((D4*0.0254)^2))</f>
        <v>7.688015376030752</v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 t="str">
        <f>IF(D4="","","Your maximum weight should be")</f>
        <v>Your maximum weight should be</v>
      </c>
      <c r="I13" s="88">
        <f>IF(D4="","",(((D4*0.0254)^2)/0.45)*25)</f>
        <v>201.61249999999998</v>
      </c>
      <c r="J13" s="316" t="str">
        <f>IF(D4="","","pounds")</f>
        <v>pounds</v>
      </c>
    </row>
    <row r="14" spans="1:10" ht="12.75">
      <c r="A14" s="84"/>
      <c r="B14" s="90"/>
      <c r="C14" s="87"/>
      <c r="D14" s="85"/>
      <c r="E14" s="87"/>
      <c r="F14" s="85"/>
      <c r="G14" s="85"/>
      <c r="H14" s="315" t="str">
        <f>IF(D4="","","Your minimum weight should be")</f>
        <v>Your minimum weight should be</v>
      </c>
      <c r="I14" s="88">
        <f>IF(D4="","",(((D4*0.0254)^2)/0.45)*20)</f>
        <v>161.28999999999996</v>
      </c>
      <c r="J14" s="316" t="str">
        <f>IF(D4="","","pounds")</f>
        <v>pounds</v>
      </c>
    </row>
    <row r="15" spans="2:10" ht="15.75" customHeight="1" thickBot="1">
      <c r="B15" s="318"/>
      <c r="C15" s="319" t="str">
        <f>IF(D3="","","Your target body mass index should be 20 to 25.  Over 30 is considered obese.")</f>
        <v>Your target body mass index should be 20 to 25.  Over 30 is considered obese.</v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60"/>
  <sheetViews>
    <sheetView showGridLines="0" showRowColHeaders="0" zoomScalePageLayoutView="0" workbookViewId="0" topLeftCell="A10">
      <selection activeCell="C1" sqref="C1:F1"/>
    </sheetView>
  </sheetViews>
  <sheetFormatPr defaultColWidth="7.10546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898</v>
      </c>
      <c r="C1" s="522"/>
      <c r="D1" s="522"/>
      <c r="E1" s="522"/>
      <c r="F1" s="522"/>
      <c r="G1" s="463"/>
      <c r="H1" s="463"/>
      <c r="I1" s="464" t="s">
        <v>899</v>
      </c>
      <c r="J1" s="465" t="s">
        <v>900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901</v>
      </c>
    </row>
    <row r="3" spans="4:10" ht="13.5" thickBot="1">
      <c r="D3" s="467" t="s">
        <v>902</v>
      </c>
      <c r="E3" s="468"/>
      <c r="G3" s="469" t="s">
        <v>907</v>
      </c>
      <c r="I3" s="464" t="s">
        <v>903</v>
      </c>
      <c r="J3" s="465" t="s">
        <v>904</v>
      </c>
    </row>
    <row r="4" spans="2:7" ht="13.5" thickBot="1">
      <c r="B4" s="470" t="s">
        <v>905</v>
      </c>
      <c r="C4" s="470" t="s">
        <v>906</v>
      </c>
      <c r="D4" s="470" t="s">
        <v>899</v>
      </c>
      <c r="E4" s="470" t="s">
        <v>903</v>
      </c>
      <c r="F4" s="471" t="s">
        <v>907</v>
      </c>
      <c r="G4" s="472" t="s">
        <v>917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908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899</v>
      </c>
      <c r="L55" s="496" t="s">
        <v>903</v>
      </c>
    </row>
    <row r="56" spans="3:15" ht="12.75">
      <c r="C56" s="461" t="s">
        <v>909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910</v>
      </c>
      <c r="J56" s="500" t="s">
        <v>911</v>
      </c>
      <c r="K56" s="501"/>
      <c r="L56" s="502" t="s">
        <v>912</v>
      </c>
      <c r="M56" s="503"/>
      <c r="O56" s="469" t="s">
        <v>924</v>
      </c>
    </row>
    <row r="57" spans="3:15" ht="12.75">
      <c r="C57" s="461" t="s">
        <v>913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914</v>
      </c>
      <c r="J57" s="504" t="s">
        <v>915</v>
      </c>
      <c r="K57" s="505"/>
      <c r="L57" s="506" t="s">
        <v>916</v>
      </c>
      <c r="M57" s="507"/>
      <c r="O57" s="508" t="s">
        <v>917</v>
      </c>
    </row>
    <row r="58" spans="3:15" ht="13.5" thickBot="1">
      <c r="C58" s="461" t="s">
        <v>918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919</v>
      </c>
      <c r="J58" s="513" t="s">
        <v>920</v>
      </c>
      <c r="K58" s="462"/>
      <c r="L58" s="514" t="s">
        <v>921</v>
      </c>
      <c r="M58" s="515"/>
      <c r="O58" s="516">
        <f>IF(SUM(D5:E54)=0,"",D58-E58)</f>
      </c>
    </row>
    <row r="59" spans="3:9" ht="13.5" thickBot="1">
      <c r="C59" s="461" t="s">
        <v>922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923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39"/>
  </sheetPr>
  <dimension ref="B1:I20"/>
  <sheetViews>
    <sheetView showGridLines="0" showRowColHeaders="0" zoomScale="75" zoomScaleNormal="75" zoomScalePageLayoutView="0" workbookViewId="0" topLeftCell="A1">
      <selection activeCell="B4" sqref="B4"/>
    </sheetView>
  </sheetViews>
  <sheetFormatPr defaultColWidth="8.886718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>
        <v>162</v>
      </c>
      <c r="C3" s="15" t="s">
        <v>55</v>
      </c>
      <c r="D3" s="16">
        <f>IF(B3="","",+B3/25.4)</f>
        <v>6.377952755905511</v>
      </c>
      <c r="E3" s="5" t="s">
        <v>56</v>
      </c>
      <c r="F3" s="3"/>
      <c r="G3" s="15" t="s">
        <v>57</v>
      </c>
      <c r="H3" s="16">
        <f>IF(F3="","",+F3*25.4)</f>
      </c>
      <c r="I3" s="17" t="s">
        <v>58</v>
      </c>
    </row>
    <row r="4" spans="2:9" ht="15">
      <c r="B4" s="14"/>
      <c r="C4" s="15" t="s">
        <v>59</v>
      </c>
      <c r="D4" s="16">
        <f>IF(B4="","",+B4/2.54)</f>
      </c>
      <c r="E4" s="5" t="s">
        <v>56</v>
      </c>
      <c r="F4" s="3"/>
      <c r="G4" s="15" t="s">
        <v>57</v>
      </c>
      <c r="H4" s="16">
        <f>IF(F4="","",+F4*2.54)</f>
      </c>
      <c r="I4" s="17" t="s">
        <v>60</v>
      </c>
    </row>
    <row r="5" spans="2:9" ht="15">
      <c r="B5" s="14"/>
      <c r="C5" s="15" t="s">
        <v>61</v>
      </c>
      <c r="D5" s="18">
        <f>IF(B5="","",SUM(B5/0.3048))</f>
      </c>
      <c r="E5" s="5" t="s">
        <v>62</v>
      </c>
      <c r="F5" s="3"/>
      <c r="G5" s="15" t="s">
        <v>63</v>
      </c>
      <c r="H5" s="18">
        <f>IF(F5="","",SUM(F5*0.3048))</f>
      </c>
      <c r="I5" s="17" t="s">
        <v>64</v>
      </c>
    </row>
    <row r="6" spans="2:9" ht="15">
      <c r="B6" s="14"/>
      <c r="C6" s="15" t="s">
        <v>61</v>
      </c>
      <c r="D6" s="18">
        <f>IF(B6="","",SUM(B6/0.9144))</f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/>
      <c r="G8" s="15" t="s">
        <v>73</v>
      </c>
      <c r="H8" s="16">
        <f>IF(ISBLANK(F8),"",(5/9)*(F8-32))</f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/>
      <c r="C10" s="15" t="s">
        <v>79</v>
      </c>
      <c r="D10" s="18">
        <f>IF(B10="","",B10/0.4535924)</f>
      </c>
      <c r="E10" s="5" t="s">
        <v>80</v>
      </c>
      <c r="F10" s="3"/>
      <c r="G10" s="15" t="s">
        <v>81</v>
      </c>
      <c r="H10" s="18">
        <f>IF(F10="","",F10*0.4535924)</f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>
        <v>2</v>
      </c>
      <c r="C20" s="21" t="s">
        <v>89</v>
      </c>
      <c r="D20" s="21">
        <f>IF(B20="","",+B20*0.0174532925199433)</f>
        <v>0.0349065850398866</v>
      </c>
      <c r="E20" s="22" t="s">
        <v>90</v>
      </c>
      <c r="F20" s="23">
        <v>2</v>
      </c>
      <c r="G20" s="21" t="s">
        <v>91</v>
      </c>
      <c r="H20" s="21">
        <f>IF(F20="","",+F20/0.0174532925199433)</f>
        <v>114.59155902616462</v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7" sqref="B7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 t="str">
        <f>IF(B6="","Select the desired conversion from the drop down list above.","")</f>
        <v>Select the desired conversion from the drop down list above.</v>
      </c>
    </row>
    <row r="6" spans="2:3" ht="15">
      <c r="B6" s="382"/>
      <c r="C6" s="362" t="str">
        <f>IF(B6="","Enter the amount to convert in the white cell to the left.",Data!S26)</f>
        <v>Enter the amount to convert in the white cell to the left.</v>
      </c>
    </row>
    <row r="7" spans="2:3" ht="15">
      <c r="B7" s="381">
        <f>IF(B6="","","x  "&amp;Data!S28)</f>
      </c>
      <c r="C7" s="362" t="str">
        <f>IF(B6="","The multiplier will automatically appear here.","is the multiplier")</f>
        <v>The multiplier will automatically appear here.</v>
      </c>
    </row>
    <row r="8" spans="2:3" ht="15">
      <c r="B8" s="383">
        <f>Data!S29</f>
      </c>
      <c r="C8" s="362" t="str">
        <f>IF(B6="","This is where the conversion is calculated.",Data!S27)</f>
        <v>This is where the conversion is calculated.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B1:I21"/>
  <sheetViews>
    <sheetView showGridLines="0" showRowColHeaders="0" tabSelected="1" zoomScale="74" zoomScaleNormal="74" zoomScalePageLayoutView="0" workbookViewId="0" topLeftCell="A1">
      <selection activeCell="G37" sqref="G37"/>
    </sheetView>
  </sheetViews>
  <sheetFormatPr defaultColWidth="8.886718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0" max="10" width="8.88671875" style="0" customWidth="1"/>
    <col min="11" max="11" width="8.777343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/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</c>
      <c r="H5" s="175">
        <f>IF(OR(C5="",C6=""),"",ATAN(SUM(C6/C5))*180/PI())</f>
      </c>
      <c r="I5" s="173">
        <f>IF(OR(C5="",C6=""),"",SUM(90-H5))</f>
      </c>
    </row>
    <row r="6" spans="2:9" ht="15">
      <c r="B6" s="64" t="s">
        <v>104</v>
      </c>
      <c r="C6" s="3"/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6</v>
      </c>
      <c r="F14" s="116" t="s">
        <v>90</v>
      </c>
      <c r="G14" s="3">
        <v>6</v>
      </c>
      <c r="H14" s="117">
        <f>IF(G14+G15+G16="","",TRUNC(E14))</f>
        <v>6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6.416666666666667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37"/>
  </sheetPr>
  <dimension ref="A1:O30"/>
  <sheetViews>
    <sheetView showGridLines="0" showRowColHeaders="0" zoomScale="74" zoomScaleNormal="74" zoomScalePageLayoutView="0" workbookViewId="0" topLeftCell="A1">
      <selection activeCell="I38" sqref="I38"/>
    </sheetView>
  </sheetViews>
  <sheetFormatPr defaultColWidth="8.886718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4" max="14" width="8.88671875" style="0" customWidth="1"/>
    <col min="15" max="15" width="8.777343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523" t="str">
        <f>IF(D6&gt;1.5,"","Closest Inch Drill Bits")</f>
        <v>Closest Inch Drill Bits</v>
      </c>
      <c r="C11" s="530"/>
      <c r="D11" s="530"/>
      <c r="E11" s="525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526"/>
      <c r="C12" s="530"/>
      <c r="D12" s="530"/>
      <c r="E12" s="525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523" t="str">
        <f>IF(D6&gt;1.5,"","Closest Millimeter Drill Bits")</f>
        <v>Closest Millimeter Drill Bits</v>
      </c>
      <c r="C13" s="530"/>
      <c r="D13" s="530"/>
      <c r="E13" s="525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526"/>
      <c r="C14" s="524"/>
      <c r="D14" s="524"/>
      <c r="E14" s="525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867</v>
      </c>
      <c r="L22" s="389"/>
      <c r="M22" s="199"/>
      <c r="N22" s="96"/>
      <c r="O22" s="96"/>
    </row>
    <row r="23" spans="1:15" ht="15">
      <c r="A23" s="96"/>
      <c r="B23" s="523" t="str">
        <f>IF(D18&gt;38.5,"","Closest Inch Drill Bits")</f>
        <v>Closest Inch Drill Bits</v>
      </c>
      <c r="C23" s="524"/>
      <c r="D23" s="524"/>
      <c r="E23" s="525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868</v>
      </c>
      <c r="L23" s="389"/>
      <c r="M23" s="199"/>
      <c r="N23" s="96"/>
      <c r="O23" s="96"/>
    </row>
    <row r="24" spans="1:15" ht="15">
      <c r="A24" s="96"/>
      <c r="B24" s="526"/>
      <c r="C24" s="524"/>
      <c r="D24" s="524"/>
      <c r="E24" s="525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869</v>
      </c>
      <c r="L24" s="389"/>
      <c r="M24" s="199"/>
      <c r="N24" s="96"/>
      <c r="O24" s="96"/>
    </row>
    <row r="25" spans="1:15" ht="15">
      <c r="A25" s="96"/>
      <c r="B25" s="523" t="str">
        <f>IF(D18&gt;38.5,"","Closest Millimeter Drill Bits")</f>
        <v>Closest Millimeter Drill Bits</v>
      </c>
      <c r="C25" s="524"/>
      <c r="D25" s="524"/>
      <c r="E25" s="525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527"/>
      <c r="C26" s="528"/>
      <c r="D26" s="528"/>
      <c r="E26" s="529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5" stopIfTrue="1">
      <formula>$D$6&gt;1.5</formula>
    </cfRule>
  </conditionalFormatting>
  <conditionalFormatting sqref="B22:I26">
    <cfRule type="expression" priority="2" dxfId="3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1:F22"/>
  <sheetViews>
    <sheetView showGridLines="0" showRowColHeaders="0" zoomScalePageLayoutView="0" workbookViewId="0" topLeftCell="A1">
      <selection activeCell="H29" sqref="H28:H29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Sudharsanan.D</dc:creator>
  <cp:keywords>logistic, transportation</cp:keywords>
  <dc:description>Enter the required information to obtain a solution to an assortment of mathematical problems.
Updated 8/6/03</dc:description>
  <cp:lastModifiedBy>PriyankaP</cp:lastModifiedBy>
  <cp:lastPrinted>2006-01-11T01:28:40Z</cp:lastPrinted>
  <dcterms:created xsi:type="dcterms:W3CDTF">2001-02-11T20:27:08Z</dcterms:created>
  <dcterms:modified xsi:type="dcterms:W3CDTF">2010-06-03T06:19:47Z</dcterms:modified>
  <cp:category>logistic, transportation</cp:category>
  <cp:version/>
  <cp:contentType/>
  <cp:contentStatus/>
</cp:coreProperties>
</file>